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QR+ZEHvYu9172Dm8ICLdtqHKrAYyoayvMb+IyKh6HCPaxAQsk8RS9Q1sjaBWH27T4r6b2Pm4lABVTOmRk63FxQ==" workbookSaltValue="J7C2nzeEL5O4e0jX48XTt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B12" i="6"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E15" i="3" s="1"/>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BE12" i="21"/>
  <c r="EQ19" i="8"/>
  <c r="EN19" i="8"/>
  <c r="BA13" i="16"/>
  <c r="E17" i="3"/>
  <c r="F16" i="10"/>
  <c r="ES19" i="8"/>
  <c r="R8" i="9"/>
  <c r="X12" i="21" s="1"/>
  <c r="R19" i="8"/>
  <c r="EP19" i="8"/>
  <c r="EP19" i="19"/>
  <c r="BJ17" i="11"/>
  <c r="BL17" i="11"/>
  <c r="S13" i="16"/>
  <c r="P13" i="16"/>
  <c r="W13" i="20"/>
  <c r="AZ17" i="11"/>
  <c r="BJ11" i="11"/>
  <c r="BL11" i="11"/>
  <c r="T17" i="16"/>
  <c r="BU15" i="17"/>
  <c r="BW17" i="20"/>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E9" i="8"/>
  <c r="L12" i="2"/>
  <c r="U9" i="17"/>
  <c r="U19" i="17" s="1"/>
  <c r="AP13" i="16"/>
  <c r="T18" i="17"/>
  <c r="BF15" i="13"/>
  <c r="BE16" i="13"/>
  <c r="BF16" i="13"/>
  <c r="Z20" i="20"/>
  <c r="H20" i="20"/>
  <c r="G18" i="14"/>
  <c r="AK20" i="20"/>
  <c r="T20" i="20"/>
  <c r="O16" i="11"/>
  <c r="F17" i="16" l="1"/>
  <c r="BL17" i="16" s="1"/>
  <c r="BF17" i="8"/>
  <c r="G18" i="12"/>
  <c r="L19" i="8"/>
  <c r="AL19" i="8"/>
  <c r="AJ19" i="8"/>
  <c r="BM18" i="16"/>
  <c r="E18" i="12"/>
  <c r="H13" i="12"/>
  <c r="F11" i="11"/>
  <c r="AQ11" i="11" s="1"/>
  <c r="F13" i="7"/>
  <c r="AY13" i="8"/>
  <c r="AG19" i="8"/>
  <c r="D13" i="7"/>
  <c r="BD9" i="8"/>
  <c r="I19" i="8"/>
  <c r="E10" i="6"/>
  <c r="AO12" i="11"/>
  <c r="L11" i="14"/>
  <c r="V10" i="16"/>
  <c r="X15" i="16"/>
  <c r="X18" i="16" s="1"/>
  <c r="S15" i="17"/>
  <c r="L10" i="2"/>
  <c r="BK10" i="11"/>
  <c r="BH12" i="16"/>
  <c r="BM9" i="11"/>
  <c r="BF15" i="11"/>
  <c r="BM17" i="11"/>
  <c r="Q15" i="17"/>
  <c r="BH10" i="16"/>
  <c r="BL10" i="11"/>
  <c r="BL15" i="11"/>
  <c r="BF12" i="11"/>
  <c r="P15" i="17"/>
  <c r="S15" i="16"/>
  <c r="X17" i="17"/>
  <c r="AZ11" i="11"/>
  <c r="S11" i="14"/>
  <c r="V11" i="14" s="1"/>
  <c r="AZ16" i="11"/>
  <c r="AA16" i="16"/>
  <c r="BU12" i="17"/>
  <c r="V12" i="16"/>
  <c r="BW10" i="20"/>
  <c r="U10" i="17"/>
  <c r="BW11" i="20"/>
  <c r="BV11" i="16"/>
  <c r="BW12" i="20"/>
  <c r="BV16" i="16"/>
  <c r="BW9" i="20"/>
  <c r="T15" i="16"/>
  <c r="BM15" i="11"/>
  <c r="BI17" i="11"/>
  <c r="Q10" i="21"/>
  <c r="BK15" i="11"/>
  <c r="BF10" i="11"/>
  <c r="BH15" i="16"/>
  <c r="BH9" i="16"/>
  <c r="BE15" i="13"/>
  <c r="BV12" i="16"/>
  <c r="BU10" i="17"/>
  <c r="BV17" i="16"/>
  <c r="BU11" i="17"/>
  <c r="AZ15" i="11"/>
  <c r="AZ18" i="11" s="1"/>
  <c r="AP17" i="20"/>
  <c r="AZ9" i="11"/>
  <c r="AZ19" i="11" s="1"/>
  <c r="BH17" i="11"/>
  <c r="BG9" i="11"/>
  <c r="R10" i="21"/>
  <c r="R13" i="21" s="1"/>
  <c r="V9" i="11"/>
  <c r="BI10" i="11"/>
  <c r="X9" i="17"/>
  <c r="X11" i="17"/>
  <c r="BK9" i="11"/>
  <c r="BK12" i="11"/>
  <c r="Q17" i="20"/>
  <c r="Q18" i="20" s="1"/>
  <c r="BH15" i="11"/>
  <c r="V15" i="11"/>
  <c r="AP16" i="20"/>
  <c r="BK17" i="11"/>
  <c r="R17" i="20"/>
  <c r="R18" i="20" s="1"/>
  <c r="BG15" i="11"/>
  <c r="AP15" i="20"/>
  <c r="BJ12" i="11"/>
  <c r="BJ15" i="11"/>
  <c r="BJ18" i="11" s="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I15" i="7" s="1"/>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E20" i="20"/>
  <c r="W20" i="20"/>
  <c r="AA20" i="20"/>
  <c r="L20" i="20"/>
  <c r="J20" i="20"/>
  <c r="U12" i="11"/>
  <c r="I20" i="20"/>
  <c r="U16" i="11"/>
  <c r="AX20" i="20"/>
  <c r="Y20" i="20"/>
  <c r="O10" i="11"/>
  <c r="AM20" i="20"/>
  <c r="Q20" i="20"/>
  <c r="AB20" i="20"/>
  <c r="AI20" i="20"/>
  <c r="AZ20" i="20"/>
  <c r="AV20" i="20"/>
  <c r="AU20" i="20"/>
  <c r="M20" i="20"/>
  <c r="AQ20" i="21"/>
  <c r="AP20" i="20"/>
  <c r="AH20" i="20"/>
  <c r="N20" i="20"/>
  <c r="AD20" i="20"/>
  <c r="AE20" i="20"/>
  <c r="AG20" i="20"/>
  <c r="AJ20" i="20"/>
  <c r="AF20" i="20"/>
  <c r="G13" i="14"/>
  <c r="F20" i="20"/>
  <c r="K20" i="20"/>
  <c r="P20" i="20"/>
  <c r="S20" i="20"/>
  <c r="W20" i="21"/>
  <c r="T20" i="21"/>
  <c r="I15" i="12" l="1"/>
  <c r="R19" i="21"/>
  <c r="BF18" i="13"/>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J11" i="12"/>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S20" i="21"/>
  <c r="AH20" i="21"/>
  <c r="E20" i="16"/>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7"/>
  <c r="BH20" i="16"/>
  <c r="AW20" i="21"/>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<sst xmlns="http://schemas.openxmlformats.org/spreadsheetml/2006/main" count="2066" uniqueCount="905">
  <si>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</si>
  <si>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</si>
  <si>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</si>
  <si>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</si>
  <si>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</si>
  <si>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</si>
  <si>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</si>
  <si>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</si>
  <si>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</si>
  <si>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</si>
  <si>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</si>
  <si>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</si>
  <si>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</si>
  <si>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</si>
  <si>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</si>
  <si>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</si>
  <si>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</si>
  <si>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</si>
  <si>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</si>
  <si>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</si>
  <si>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</si>
  <si>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</si>
  <si>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</si>
  <si>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</si>
  <si>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</si>
  <si>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</si>
  <si>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</si>
  <si>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</si>
  <si>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</si>
  <si>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</si>
  <si>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</si>
  <si>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</si>
  <si>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</si>
  <si>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</si>
  <si>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</si>
  <si>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</si>
  <si>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</si>
  <si>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</si>
  <si>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</si>
  <si>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</si>
  <si>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</si>
  <si>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</si>
  <si>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</si>
  <si>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</si>
  <si>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</si>
  <si>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</si>
  <si>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</si>
  <si>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</si>
  <si>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</si>
  <si>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</si>
  <si>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</si>
  <si>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</si>
  <si>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</si>
  <si>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</si>
  <si>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</si>
  <si>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</si>
  <si>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</si>
  <si>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</si>
  <si>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</si>
  <si>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</si>
  <si>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</si>
  <si>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</si>
  <si>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</si>
  <si>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</si>
  <si>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</si>
  <si>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</si>
  <si>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</si>
  <si>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</si>
  <si>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</si>
  <si>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</si>
  <si>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</si>
  <si>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</si>
  <si>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</si>
  <si>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</si>
  <si>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</si>
  <si>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</si>
  <si>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</si>
  <si>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</si>
  <si>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</si>
  <si>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</si>
  <si>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</si>
  <si>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</si>
  <si>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</si>
  <si>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</si>
  <si>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</si>
  <si>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</si>
  <si>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</si>
  <si>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</si>
  <si>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</si>
  <si>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</si>
  <si>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</si>
  <si>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</si>
  <si>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</si>
  <si>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</si>
  <si>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</si>
  <si>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</si>
  <si>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</si>
  <si>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</si>
  <si>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</si>
  <si>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</si>
  <si>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</si>
  <si>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</si>
  <si>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</si>
  <si>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</si>
  <si>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</si>
  <si>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</si>
  <si>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</si>
  <si>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</si>
  <si>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</si>
  <si>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</si>
  <si>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</si>
  <si>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</si>
  <si>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</si>
  <si>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</si>
  <si>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</si>
  <si>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</si>
  <si>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</si>
  <si>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</si>
  <si>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</si>
  <si>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</si>
  <si>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</si>
  <si>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</si>
  <si>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</si>
  <si>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</si>
  <si>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</si>
  <si>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</si>
  <si>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</si>
  <si>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</si>
  <si>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</si>
  <si>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</si>
  <si>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</si>
  <si>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</si>
  <si>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</si>
  <si>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</si>
  <si>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</si>
  <si>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</si>
  <si>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</si>
  <si>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</si>
  <si>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</si>
  <si>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</si>
  <si>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</si>
  <si>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</si>
  <si>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</si>
  <si>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</si>
  <si>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</si>
  <si>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</si>
  <si>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</si>
  <si>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</si>
  <si>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</si>
  <si>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</si>
  <si>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</si>
  <si>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</si>
  <si>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</si>
  <si>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</si>
  <si>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</si>
  <si>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</si>
  <si>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</si>
  <si>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</si>
  <si>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</si>
  <si>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</si>
  <si>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</si>
  <si>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</si>
  <si>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</si>
  <si>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</si>
  <si>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</si>
  <si>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</si>
  <si>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</si>
  <si>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</si>
  <si>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</si>
  <si>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</si>
  <si>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</si>
  <si>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</si>
  <si>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</si>
  <si>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</si>
  <si>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</si>
  <si>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</si>
  <si>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</si>
  <si>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</si>
  <si>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</si>
  <si>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</si>
  <si>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</si>
  <si>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</si>
  <si>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</si>
  <si>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</si>
  <si>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</si>
  <si>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</si>
  <si>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</si>
  <si>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</si>
  <si>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</si>
  <si>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</si>
  <si>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</si>
  <si>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</si>
  <si>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</si>
  <si>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</si>
  <si>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</si>
  <si>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</si>
  <si>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</si>
  <si>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</si>
  <si>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</si>
  <si>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</si>
  <si>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</si>
  <si>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</si>
  <si>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</si>
  <si>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</si>
  <si>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</si>
  <si>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</si>
  <si>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</si>
  <si>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</si>
  <si>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</si>
  <si>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</si>
  <si>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</si>
  <si>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</si>
  <si>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</si>
  <si>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</si>
  <si>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</si>
  <si>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</si>
  <si>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</si>
  <si>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</si>
  <si>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</si>
  <si>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</si>
  <si>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</si>
  <si>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</si>
  <si>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</si>
  <si>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</si>
  <si>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</si>
  <si>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</si>
  <si>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</si>
  <si>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</si>
  <si>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</si>
  <si>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</si>
  <si>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</si>
  <si>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</si>
  <si>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</si>
  <si>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</si>
  <si>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</si>
  <si>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</si>
  <si>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</si>
  <si>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</si>
  <si>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</si>
  <si>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</si>
  <si>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</si>
  <si>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</si>
  <si>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</si>
  <si>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</si>
  <si>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</si>
  <si>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</si>
  <si>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</si>
  <si>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</si>
  <si>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</si>
  <si>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</si>
  <si>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</si>
  <si>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</si>
  <si>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</si>
  <si>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</si>
  <si>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</si>
  <si>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</si>
  <si>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</si>
  <si>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</si>
  <si>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</si>
  <si>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</si>
  <si>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</si>
  <si>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</si>
  <si>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</si>
  <si>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</si>
  <si>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</si>
  <si>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</si>
  <si>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</si>
  <si>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</si>
  <si>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</si>
  <si>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</si>
  <si>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</si>
  <si>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</si>
  <si>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</si>
  <si>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</si>
  <si>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</si>
  <si>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</si>
  <si>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</si>
  <si>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</si>
  <si>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</si>
  <si>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</si>
  <si>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</si>
  <si>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</si>
  <si>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</si>
  <si>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</si>
  <si>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</si>
  <si>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</si>
  <si>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</si>
  <si>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</si>
  <si>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</si>
  <si>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</si>
  <si>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</si>
  <si>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</si>
  <si>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</si>
  <si>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</si>
  <si>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</si>
  <si>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</si>
  <si>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</si>
  <si>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</si>
  <si>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</si>
  <si>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</si>
  <si>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</si>
  <si>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</si>
  <si>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</si>
  <si>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</si>
  <si>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</si>
  <si>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</si>
  <si>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</si>
  <si>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</si>
  <si>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</si>
  <si>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</si>
  <si>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</si>
  <si>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</si>
  <si>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</si>
  <si>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</si>
  <si>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</si>
  <si>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</si>
  <si>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</si>
  <si>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</si>
  <si>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</si>
  <si>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</si>
  <si>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</si>
  <si>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</si>
  <si>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</si>
  <si>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</si>
  <si>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</si>
  <si>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</si>
  <si>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</si>
  <si>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</si>
  <si>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</si>
  <si>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</si>
  <si>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</si>
  <si>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</si>
  <si>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</si>
  <si>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</si>
  <si>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</si>
  <si>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</si>
  <si>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</si>
  <si>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</si>
  <si>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</si>
  <si>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</si>
  <si>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</si>
  <si>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</si>
  <si>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</si>
  <si>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</si>
  <si>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</si>
  <si>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</si>
  <si>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</si>
  <si>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</si>
  <si>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</si>
  <si>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</si>
  <si>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</si>
  <si>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</si>
  <si>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</si>
  <si>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</si>
  <si>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</si>
  <si>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</si>
  <si>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</si>
  <si>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</si>
  <si>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</si>
  <si>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</si>
  <si>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</si>
  <si>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</si>
  <si>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</si>
  <si>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</si>
  <si>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</si>
  <si>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</si>
  <si>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</si>
  <si>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</si>
  <si>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</si>
  <si>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</si>
  <si>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</si>
  <si>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</si>
  <si>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</si>
  <si>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</si>
  <si>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</si>
  <si>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</si>
  <si>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</si>
  <si>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</si>
  <si>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</si>
  <si>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</si>
  <si>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</si>
  <si>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</si>
  <si>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</si>
  <si>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</si>
  <si>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</si>
  <si>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</si>
  <si>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</si>
  <si>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</si>
  <si>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</si>
  <si>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</si>
  <si>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</si>
  <si>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</si>
  <si>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</si>
  <si>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</si>
  <si>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</si>
  <si>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</si>
  <si>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</si>
  <si>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</si>
  <si>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</si>
  <si>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</si>
  <si>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</si>
  <si>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</si>
  <si>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</si>
  <si>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</si>
  <si>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</si>
  <si>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</si>
  <si>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</si>
  <si>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</si>
  <si>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</si>
  <si>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</si>
  <si>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</si>
  <si>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</si>
  <si>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</si>
  <si>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</si>
  <si>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</si>
  <si>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</si>
  <si>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</si>
  <si>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</si>
  <si>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</si>
  <si>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</si>
  <si>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</si>
  <si>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</si>
  <si>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</si>
  <si>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</si>
  <si>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</si>
  <si>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</si>
  <si>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</si>
  <si>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</si>
  <si>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</si>
  <si>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</si>
  <si>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</si>
  <si>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</si>
  <si>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</si>
  <si>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</si>
  <si>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</si>
  <si>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</si>
  <si>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</si>
  <si>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</si>
  <si>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</si>
  <si>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</si>
  <si>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</si>
  <si>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</si>
  <si>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</si>
  <si>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</si>
  <si>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</si>
  <si>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</si>
  <si>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</si>
  <si>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</si>
  <si>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</si>
  <si>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</si>
  <si>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</si>
  <si>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</si>
  <si>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</si>
  <si>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</si>
  <si>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</si>
  <si>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</si>
  <si>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</si>
  <si>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</si>
  <si>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</si>
  <si>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</si>
  <si>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</si>
  <si>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</si>
  <si>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</si>
  <si>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</si>
  <si>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</si>
  <si>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</si>
  <si>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</si>
  <si>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</si>
  <si>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</si>
  <si>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</si>
  <si>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</si>
  <si>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</si>
  <si>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</si>
  <si>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</si>
  <si>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</si>
  <si>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</si>
  <si>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</si>
  <si>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</si>
  <si>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</si>
  <si>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</si>
  <si>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</si>
  <si>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</si>
  <si>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</si>
  <si>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</si>
  <si>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</si>
  <si>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</si>
  <si>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</si>
  <si>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</si>
  <si>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</si>
  <si>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</si>
  <si>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</si>
  <si>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</si>
  <si>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</si>
  <si>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</si>
  <si>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</si>
  <si>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</si>
  <si>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</si>
  <si>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</si>
  <si>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</si>
  <si>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</si>
  <si>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</si>
  <si>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</si>
  <si>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</si>
  <si>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</si>
  <si>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</si>
  <si>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</si>
  <si>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</si>
  <si>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</si>
  <si>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</si>
  <si>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</si>
  <si>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</si>
  <si>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</si>
  <si>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</si>
  <si>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</si>
  <si>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</si>
  <si>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</si>
  <si>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</si>
  <si>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</si>
  <si>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</si>
  <si>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</si>
  <si>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</si>
  <si>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</si>
  <si>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</si>
  <si>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</si>
  <si>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</si>
  <si>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</si>
  <si>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</si>
  <si>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</si>
  <si>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</si>
  <si>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</si>
  <si>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</si>
  <si>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</si>
  <si>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</si>
  <si>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</si>
  <si>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</si>
  <si>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</si>
  <si>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</si>
  <si>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</si>
  <si>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</si>
  <si>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</si>
  <si>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</si>
  <si>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</si>
  <si>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</si>
  <si>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</si>
  <si>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</si>
  <si>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</si>
  <si>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</si>
  <si>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</si>
  <si>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</si>
  <si>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</si>
  <si>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</si>
  <si>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</si>
  <si>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</si>
  <si>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</si>
  <si>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</si>
  <si>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</si>
  <si>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</si>
  <si>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</si>
  <si>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</si>
  <si>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</si>
  <si>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</si>
  <si>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</si>
  <si>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</si>
  <si>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</si>
  <si>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</si>
  <si>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</si>
  <si>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</si>
  <si>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</si>
  <si>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</si>
  <si>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</si>
  <si>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</si>
  <si>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</si>
  <si>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</si>
  <si>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</si>
  <si>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</si>
  <si>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</si>
  <si>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</si>
  <si>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</si>
  <si>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</si>
  <si>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</si>
  <si>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</si>
  <si>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</si>
  <si>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</si>
  <si>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</si>
  <si>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</si>
  <si>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</si>
  <si>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</si>
  <si>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</si>
  <si>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</si>
  <si>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</si>
  <si>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</si>
  <si>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</si>
  <si>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</si>
  <si>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</si>
  <si>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</si>
  <si>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</si>
  <si>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</si>
  <si>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</si>
  <si>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</si>
  <si>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</si>
  <si>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</si>
  <si>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</si>
  <si>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</si>
  <si>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</si>
  <si>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</si>
  <si>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</si>
  <si>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</si>
  <si>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</si>
  <si>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</si>
  <si>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</si>
  <si>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</si>
  <si>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</si>
  <si>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</si>
  <si>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</si>
  <si>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</si>
  <si>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</si>
  <si>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</si>
  <si>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</si>
  <si>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</si>
  <si>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</si>
  <si>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</si>
  <si>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</si>
  <si>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</si>
  <si>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</si>
  <si>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</si>
  <si>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</si>
  <si>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</si>
  <si>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</si>
  <si>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</si>
  <si>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</si>
  <si>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</si>
  <si>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</si>
  <si>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</si>
  <si>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</si>
  <si>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</si>
  <si>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</si>
  <si>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</si>
  <si>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</si>
  <si>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</si>
  <si>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</si>
  <si>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</si>
  <si>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</si>
  <si>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</si>
  <si>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</si>
  <si>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</si>
  <si>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</si>
  <si>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</si>
  <si>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</si>
  <si>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</si>
  <si>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</si>
  <si>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</si>
  <si>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</si>
  <si>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</si>
  <si>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</si>
  <si>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</si>
  <si>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</si>
  <si>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</si>
  <si>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</si>
  <si>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</si>
  <si>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</si>
  <si>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</si>
  <si>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</si>
  <si>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</si>
  <si>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</si>
  <si>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</si>
  <si>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</si>
  <si>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</si>
  <si>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</si>
  <si>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</si>
  <si>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</si>
  <si>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</si>
  <si>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</si>
  <si>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</si>
  <si>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</si>
  <si>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</si>
  <si>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</si>
  <si>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</si>
  <si>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</si>
  <si>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</si>
  <si>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</si>
  <si>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</si>
  <si>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</si>
  <si>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</si>
  <si>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</si>
  <si>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</si>
  <si>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</si>
  <si>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</si>
  <si>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</si>
  <si>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</si>
  <si>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</si>
  <si>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</si>
  <si>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</si>
  <si>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</si>
  <si>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</si>
  <si>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</si>
  <si>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</si>
  <si>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</si>
  <si>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</si>
  <si>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</si>
  <si>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</si>
  <si>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</si>
  <si>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</si>
  <si>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</si>
  <si>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</si>
  <si>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</si>
  <si>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</si>
  <si>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</si>
  <si>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</si>
  <si>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</si>
  <si>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</si>
  <si>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</si>
  <si>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</si>
  <si>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</si>
  <si>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</si>
  <si>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</si>
  <si>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</si>
  <si>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</si>
  <si>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</si>
  <si>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</si>
  <si>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</si>
  <si>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</si>
  <si>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</si>
  <si>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</si>
  <si>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</si>
  <si>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</si>
  <si>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</si>
  <si>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</si>
  <si>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</si>
  <si>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</si>
  <si>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</si>
  <si>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</si>
  <si>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</si>
  <si>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</si>
  <si>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</si>
  <si>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</si>
  <si>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</si>
  <si>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</si>
  <si>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</si>
  <si>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</si>
  <si>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</si>
  <si>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</si>
  <si>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</si>
  <si>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</si>
  <si>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</si>
  <si>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</si>
  <si>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</si>
  <si>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</si>
  <si>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</si>
  <si>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</si>
  <si>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</si>
  <si>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</si>
  <si>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</si>
  <si>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</si>
  <si>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</si>
  <si>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</si>
  <si>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</si>
  <si>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</si>
  <si>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</si>
  <si>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</si>
  <si>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</si>
  <si>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</si>
  <si>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</si>
  <si>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</si>
  <si>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</si>
  <si>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</si>
  <si>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</si>
  <si>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</si>
  <si>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</si>
  <si>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</si>
  <si>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</si>
  <si>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</si>
  <si>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</si>
  <si>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</si>
  <si>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</si>
  <si>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</si>
  <si>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</si>
  <si>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</si>
  <si>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</si>
  <si>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</si>
  <si>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</si>
  <si>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</si>
  <si>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</si>
  <si>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</si>
  <si>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</si>
  <si>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</si>
  <si>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</si>
  <si>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</si>
  <si>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</si>
  <si>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</si>
  <si>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</si>
  <si>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</si>
  <si>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</si>
  <si>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</si>
  <si>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</si>
  <si>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</si>
  <si>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</si>
  <si>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</si>
  <si>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</si>
  <si>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</si>
  <si>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</si>
  <si>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</si>
  <si>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</si>
  <si>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</si>
  <si>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</si>
  <si>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</si>
  <si>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</si>
  <si>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</si>
  <si>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</si>
  <si>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</si>
  <si>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</si>
  <si>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</si>
  <si>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</si>
  <si>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</si>
  <si>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</si>
  <si>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</si>
  <si>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</si>
  <si>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</si>
  <si>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</si>
  <si>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</si>
  <si>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</si>
  <si>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</si>
  <si>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</si>
  <si>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</si>
  <si>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</si>
  <si>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</si>
  <si>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</si>
  <si>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</si>
  <si>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</si>
  <si>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</si>
  <si>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</si>
  <si>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</si>
  <si>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</si>
  <si>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</si>
  <si>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</si>
  <si>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</si>
  <si>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</si>
  <si>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</si>
  <si>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</si>
  <si>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</si>
  <si>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</si>
  <si>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</si>
  <si>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</si>
  <si>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</si>
  <si>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</si>
  <si>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</si>
  <si>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</si>
  <si>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</si>
  <si>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</si>
  <si>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</si>
  <si>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</si>
  <si>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</si>
  <si>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</si>
  <si>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</si>
  <si>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</si>
  <si>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</si>
  <si>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</si>
  <si>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</si>
  <si>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</si>
  <si>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</si>
  <si>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</si>
  <si>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</si>
  <si>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</si>
  <si>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</si>
  <si>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</si>
  <si>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</si>
  <si>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</si>
  <si>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</si>
  <si>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</si>
  <si>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</si>
  <si>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</si>
  <si>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</si>
  <si>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</si>
  <si>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</si>
  <si>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</si>
  <si>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</si>
  <si>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</si>
  <si>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</si>
  <si>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</si>
  <si>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</si>
  <si>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</si>
  <si>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</si>
  <si>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</si>
  <si>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</si>
  <si>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</si>
  <si>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</si>
  <si>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</si>
  <si>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</si>
  <si>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</si>
  <si>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</si>
  <si>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</si>
  <si>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</si>
  <si>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</si>
  <si>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</si>
  <si>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</si>
  <si>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</si>
  <si>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</si>
  <si>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</si>
  <si>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</si>
  <si>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</si>
  <si>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</si>
  <si>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</si>
  <si>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</si>
  <si>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</si>
  <si>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OURENSE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</si>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</sst>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899</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900</v>
      </c>
      <c r="B9" s="375" t="s">
        <v>901</v>
      </c>
      <c r="C9" s="372"/>
      <c r="D9" s="372"/>
      <c r="E9" s="381"/>
      <c r="F9" s="3"/>
    </row>
    <row r="10" spans="1:19">
      <c r="A10" s="380" t="s">
        <v>902</v>
      </c>
      <c r="B10" s="372" t="s">
        <v>903</v>
      </c>
      <c r="C10" s="372"/>
      <c r="D10" s="372"/>
      <c r="E10" s="381"/>
      <c r="F10" s="3"/>
      <c r="Q10" s="346">
        <v>0</v>
      </c>
    </row>
    <row r="11" spans="1:19" ht="13.5" thickBot="1">
      <c r="A11" s="382" t="s">
        <v>904</v>
      </c>
      <c r="B11" s="383" t="s">
        <v>903</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9GD5CeWneSx8MmsJy3SzxHjwaxRPxev8ClCZlX+ZVqZ20szECPHhK3761mYw1K3GeO7CjvLpIGV8Y/rkqkZLCw==" saltValue="5w7aNVWF4KXlUxDG5o34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16.688558446922759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57</v>
      </c>
      <c r="D10" s="225">
        <f>IF(ISNUMBER(Datos!I10),Datos!I10," - ")</f>
        <v>57</v>
      </c>
      <c r="E10" s="226">
        <f>IF(ISNUMBER(Datos!J10),Datos!J10," - ")</f>
        <v>32</v>
      </c>
      <c r="F10" s="226">
        <f>IF(ISNUMBER(Datos!K10),Datos!K10," - ")</f>
        <v>27</v>
      </c>
      <c r="G10" s="1034" t="str">
        <f>IF(Datos!E10&lt;&gt;"",Datos!E10,Datos!D10)</f>
        <v>37</v>
      </c>
      <c r="H10" s="227">
        <f>IF(ISNUMBER(Datos!L10),Datos!L10," - ")</f>
        <v>62</v>
      </c>
      <c r="I10" s="1044" t="str">
        <f>IF(ISNUMBER(Datos!AS10/Datos!BM10),Datos!AS10/Datos!BM10," - ")</f>
        <v xml:space="preserve"> - </v>
      </c>
      <c r="J10" s="1045">
        <f>IF(ISNUMBER(Datos!BY10/Datos!CN10),Datos!BY10/Datos!CN10," - ")</f>
        <v>0</v>
      </c>
      <c r="K10" s="230">
        <f t="shared" ref="K10:K12" si="1">IF(ISNUMBER((E10-F10)/C10),(E10-F10)/C10," - ")</f>
        <v>8.771929824561403E-2</v>
      </c>
      <c r="L10" s="1025">
        <f>IF(ISNUMBER(NºAsuntos!I10/NºAsuntos!G10),(NºAsuntos!I10/NºAsuntos!G10)*11," - ")</f>
        <v>25.25925925925926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19.202422145328718</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57</v>
      </c>
      <c r="D13" s="1049">
        <f>SUBTOTAL(9,D9:D12)</f>
        <v>57</v>
      </c>
      <c r="E13" s="1050">
        <f>SUBTOTAL(9,E9:E12)</f>
        <v>32</v>
      </c>
      <c r="F13" s="1051">
        <f>SUBTOTAL(9,F9:F12)</f>
        <v>27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3</v>
      </c>
      <c r="B15" s="502" t="str">
        <f>Datos!A15</f>
        <v xml:space="preserve">Jdos. Instrucción                               </v>
      </c>
      <c r="C15" s="225">
        <f t="shared" ref="C15:C17" si="2">IF(ISNUMBER(H15-E15+F15),H15-E15+F15," - ")</f>
        <v>2360</v>
      </c>
      <c r="D15" s="225">
        <f>IF(ISNUMBER(IF(D_I="SI",Datos!I15,Datos!I15+Datos!AC15)),IF(D_I="SI",Datos!I15,Datos!I15+Datos!AC15)," - ")</f>
        <v>2340</v>
      </c>
      <c r="E15" s="226">
        <f>IF(ISNUMBER(IF(D_I="SI",Datos!J15,Datos!J15+Datos!AD15)),IF(D_I="SI",Datos!J15,Datos!J15+Datos!AD15)," - ")</f>
        <v>1352</v>
      </c>
      <c r="F15" s="226">
        <f>IF(ISNUMBER(IF(D_I="SI",Datos!K15,Datos!K15+Datos!AE15)),IF(D_I="SI",Datos!K15,Datos!K15+Datos!AE15)," - ")</f>
        <v>1424</v>
      </c>
      <c r="G15" s="1034" t="str">
        <f>IF(Datos!E15&lt;&gt;"",Datos!E15,Datos!D15)</f>
        <v>03</v>
      </c>
      <c r="H15" s="227">
        <f>IF(ISNUMBER(IF(D_I="SI",Datos!L15,Datos!L15+Datos!AF15)),IF(D_I="SI",Datos!L15,Datos!L15+Datos!AF15)," - ")</f>
        <v>2288</v>
      </c>
      <c r="I15" s="1044" t="str">
        <f>IF(ISNUMBER(Datos!AS15/Datos!BM15),Datos!AS15/Datos!BM15," - ")</f>
        <v xml:space="preserve"> - </v>
      </c>
      <c r="J15" s="1045">
        <f>IF(ISNUMBER(Datos!BY15/Datos!CN15),Datos!BY15/Datos!CN15," - ")</f>
        <v>0</v>
      </c>
      <c r="K15" s="230">
        <f t="shared" ref="K15:K17" si="3">IF(ISNUMBER((E15-F15)/C15),(E15-F15)/C15," - ")</f>
        <v>-3.0508474576271188E-2</v>
      </c>
      <c r="L15" s="1025">
        <f>IF(ISNUMBER(NºAsuntos!I15/NºAsuntos!G15),(NºAsuntos!I15/NºAsuntos!G15)*11," - ")</f>
        <v>17.674157303370787</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f t="shared" si="2"/>
        <v>1</v>
      </c>
      <c r="D16" s="225">
        <f>IF(ISNUMBER(IF(D_I="SI",Datos!I16,Datos!I16+Datos!AC16)),IF(D_I="SI",Datos!I16,Datos!I16+Datos!AC16)," - ")</f>
        <v>1</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1</v>
      </c>
      <c r="I16" s="1044" t="str">
        <f>IF(ISNUMBER(Datos!AS16/Datos!BM16),Datos!AS16/Datos!BM16," - ")</f>
        <v xml:space="preserve"> - </v>
      </c>
      <c r="J16" s="1045">
        <f>IF(ISNUMBER(Datos!BY16/Datos!CN16),Datos!BY16/Datos!CN16," - ")</f>
        <v>0</v>
      </c>
      <c r="K16" s="230">
        <f t="shared" si="3"/>
        <v>0</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177</v>
      </c>
      <c r="D17" s="225">
        <f>IF(ISNUMBER(IF(D_I="SI",Datos!I17,Datos!I17+Datos!AC17)),IF(D_I="SI",Datos!I17,Datos!I17+Datos!AC17)," - ")</f>
        <v>169</v>
      </c>
      <c r="E17" s="226">
        <f>IF(ISNUMBER(IF(D_I="SI",Datos!J17,Datos!J17+Datos!AD17)),IF(D_I="SI",Datos!J17,Datos!J17+Datos!AD17)," - ")</f>
        <v>184</v>
      </c>
      <c r="F17" s="226">
        <f>IF(ISNUMBER(IF(D_I="SI",Datos!K17,Datos!K17+Datos!AE17)),IF(D_I="SI",Datos!K17,Datos!K17+Datos!AE17)," - ")</f>
        <v>190</v>
      </c>
      <c r="G17" s="1034" t="str">
        <f>IF(Datos!E17&lt;&gt;"",Datos!E17,Datos!D17)</f>
        <v>37</v>
      </c>
      <c r="H17" s="227">
        <f>IF(ISNUMBER(IF(D_I="SI",Datos!L17,Datos!L17+Datos!AF17)),IF(D_I="SI",Datos!L17,Datos!L17+Datos!AF17)," - ")</f>
        <v>171</v>
      </c>
      <c r="I17" s="1044" t="str">
        <f>IF(ISNUMBER(Datos!AS17/Datos!BM17),Datos!AS17/Datos!BM17," - ")</f>
        <v xml:space="preserve"> - </v>
      </c>
      <c r="J17" s="1045" t="str">
        <f>IF(ISNUMBER((Datos!BY17+Datos!BZ17)/Datos!CN17),(Datos!BY17+Datos!BZ17)/Datos!CN17," - ")</f>
        <v xml:space="preserve"> - </v>
      </c>
      <c r="K17" s="230">
        <f t="shared" si="3"/>
        <v>-3.3898305084745763E-2</v>
      </c>
      <c r="L17" s="1025">
        <f>IF(ISNUMBER(NºAsuntos!I17/NºAsuntos!G17),(NºAsuntos!I17/NºAsuntos!G17)*11," - ")</f>
        <v>9.9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2538</v>
      </c>
      <c r="D18" s="1049">
        <f>SUBTOTAL(9,D15:D17)</f>
        <v>2510</v>
      </c>
      <c r="E18" s="1050">
        <f>SUBTOTAL(9,E15:E17)</f>
        <v>1536</v>
      </c>
      <c r="F18" s="1050">
        <f>SUBTOTAL(9,F15:F17)</f>
        <v>1614</v>
      </c>
      <c r="G18" s="1052" t="str">
        <f ca="1">INDIRECT(CONCATENATE("G",ROW()-1))</f>
        <v>37</v>
      </c>
      <c r="H18" s="1053">
        <f ca="1">SUMIF(G$14:G17,G18,H$14:H17)</f>
        <v>171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2595</v>
      </c>
      <c r="D19" s="1071">
        <f>SUBTOTAL(9,D9:D18)</f>
        <v>2567</v>
      </c>
      <c r="E19" s="1072">
        <f>SUBTOTAL(9,E9:E18)</f>
        <v>1568</v>
      </c>
      <c r="F19" s="1072">
        <f>SUBTOTAL(9,F9:F18)</f>
        <v>1641</v>
      </c>
      <c r="G19" s="1073"/>
      <c r="H19" s="1074">
        <f ca="1">SUMIF(B9:B18,"TOTAL",H9:H18)</f>
        <v>171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627</v>
      </c>
      <c r="O25" s="1325"/>
      <c r="P25" s="1325"/>
      <c r="Q25" s="1325"/>
      <c r="R25" s="1325"/>
      <c r="S25" s="1325"/>
      <c r="T25" s="1325"/>
      <c r="U25" s="1325"/>
      <c r="V25" s="1325"/>
      <c r="W25" s="1325"/>
      <c r="Y25" s="1325" t="s">
        <v>628</v>
      </c>
      <c r="Z25" s="1325"/>
      <c r="AA25" s="1325"/>
      <c r="AB25" s="1325"/>
      <c r="AC25" s="1325"/>
      <c r="AD25" s="1325"/>
    </row>
    <row r="27" spans="1:31">
      <c r="N27" s="1031" t="s">
        <v>629</v>
      </c>
      <c r="O27" s="1321" t="s">
        <v>630</v>
      </c>
      <c r="P27" s="1321"/>
      <c r="Q27" s="1321"/>
      <c r="R27" s="1321"/>
      <c r="S27" s="1321"/>
      <c r="T27" s="1321"/>
      <c r="U27" s="1321"/>
      <c r="V27" s="1321"/>
      <c r="W27" s="1321"/>
      <c r="Y27" s="1031" t="s">
        <v>629</v>
      </c>
      <c r="Z27" s="1323" t="s">
        <v>631</v>
      </c>
      <c r="AA27" s="1323"/>
      <c r="AB27" s="1323"/>
      <c r="AC27" s="1323"/>
      <c r="AD27" s="1323"/>
    </row>
    <row r="28" spans="1:31">
      <c r="N28" s="1031" t="s">
        <v>632</v>
      </c>
      <c r="O28" s="1321" t="s">
        <v>633</v>
      </c>
      <c r="P28" s="1321"/>
      <c r="Q28" s="1321"/>
      <c r="R28" s="1321"/>
      <c r="S28" s="1321"/>
      <c r="T28" s="1321"/>
      <c r="U28" s="1321"/>
      <c r="V28" s="1321"/>
      <c r="W28" s="1321"/>
      <c r="Y28" s="1031" t="s">
        <v>632</v>
      </c>
      <c r="Z28" s="1323" t="s">
        <v>634</v>
      </c>
      <c r="AA28" s="1323"/>
      <c r="AB28" s="1323"/>
      <c r="AC28" s="1323"/>
      <c r="AD28" s="1323"/>
    </row>
    <row r="29" spans="1:31">
      <c r="N29" s="1031" t="s">
        <v>635</v>
      </c>
      <c r="O29" s="1321" t="s">
        <v>636</v>
      </c>
      <c r="P29" s="1321"/>
      <c r="Q29" s="1321"/>
      <c r="R29" s="1321"/>
      <c r="S29" s="1321"/>
      <c r="T29" s="1321"/>
      <c r="U29" s="1321"/>
      <c r="V29" s="1321"/>
      <c r="W29" s="1321"/>
      <c r="Y29" s="1031" t="s">
        <v>637</v>
      </c>
      <c r="Z29" s="1323" t="s">
        <v>872</v>
      </c>
      <c r="AA29" s="1323"/>
      <c r="AB29" s="1323"/>
      <c r="AC29" s="1323"/>
      <c r="AD29" s="1323"/>
    </row>
    <row r="30" spans="1:31">
      <c r="N30" s="1031" t="s">
        <v>638</v>
      </c>
      <c r="O30" s="1321" t="s">
        <v>639</v>
      </c>
      <c r="P30" s="1321"/>
      <c r="Q30" s="1321"/>
      <c r="R30" s="1321"/>
      <c r="S30" s="1321"/>
      <c r="T30" s="1321"/>
      <c r="U30" s="1321"/>
      <c r="V30" s="1321"/>
      <c r="W30" s="1321"/>
      <c r="Y30" s="1031" t="s">
        <v>640</v>
      </c>
      <c r="Z30" s="1323" t="s">
        <v>873</v>
      </c>
      <c r="AA30" s="1323"/>
      <c r="AB30" s="1323"/>
      <c r="AC30" s="1323"/>
      <c r="AD30" s="1323"/>
    </row>
    <row r="31" spans="1:31">
      <c r="N31" s="1031" t="s">
        <v>723</v>
      </c>
      <c r="O31" s="1321" t="s">
        <v>724</v>
      </c>
      <c r="P31" s="1321"/>
      <c r="Q31" s="1321"/>
      <c r="R31" s="1321"/>
      <c r="S31" s="1321"/>
      <c r="T31" s="1321"/>
      <c r="U31" s="1321"/>
      <c r="V31" s="1321"/>
      <c r="W31" s="1321"/>
      <c r="Y31" s="1031" t="s">
        <v>635</v>
      </c>
      <c r="Z31" s="1323" t="s">
        <v>636</v>
      </c>
      <c r="AA31" s="1323"/>
      <c r="AB31" s="1323"/>
      <c r="AC31" s="1323"/>
      <c r="AD31" s="1323"/>
    </row>
    <row r="32" spans="1:31">
      <c r="N32" s="1031" t="s">
        <v>641</v>
      </c>
      <c r="O32" s="1321" t="s">
        <v>642</v>
      </c>
      <c r="P32" s="1321"/>
      <c r="Q32" s="1321"/>
      <c r="R32" s="1321"/>
      <c r="S32" s="1321"/>
      <c r="T32" s="1321"/>
      <c r="U32" s="1321"/>
      <c r="V32" s="1321"/>
      <c r="W32" s="1321"/>
      <c r="Y32" s="1031" t="s">
        <v>638</v>
      </c>
      <c r="Z32" s="1323" t="s">
        <v>639</v>
      </c>
      <c r="AA32" s="1323"/>
      <c r="AB32" s="1323"/>
      <c r="AC32" s="1323"/>
      <c r="AD32" s="1323"/>
    </row>
    <row r="33" spans="14:30">
      <c r="N33" s="1031" t="s">
        <v>643</v>
      </c>
      <c r="O33" s="1321" t="s">
        <v>644</v>
      </c>
      <c r="P33" s="1321"/>
      <c r="Q33" s="1321"/>
      <c r="R33" s="1321"/>
      <c r="S33" s="1321"/>
      <c r="T33" s="1321"/>
      <c r="U33" s="1321"/>
      <c r="V33" s="1321"/>
      <c r="W33" s="1321"/>
      <c r="Y33" s="1031" t="s">
        <v>645</v>
      </c>
      <c r="Z33" s="1323" t="s">
        <v>646</v>
      </c>
      <c r="AA33" s="1323"/>
      <c r="AB33" s="1323"/>
      <c r="AC33" s="1323"/>
      <c r="AD33" s="1323"/>
    </row>
    <row r="34" spans="14:30">
      <c r="N34" s="1031" t="s">
        <v>637</v>
      </c>
      <c r="O34" s="1321" t="s">
        <v>870</v>
      </c>
      <c r="P34" s="1321"/>
      <c r="Q34" s="1321"/>
      <c r="R34" s="1321"/>
      <c r="S34" s="1321"/>
      <c r="T34" s="1321"/>
      <c r="U34" s="1321"/>
      <c r="V34" s="1321"/>
      <c r="W34" s="1321"/>
      <c r="Y34" s="1031" t="s">
        <v>647</v>
      </c>
      <c r="Z34" s="1323" t="s">
        <v>648</v>
      </c>
      <c r="AA34" s="1323"/>
      <c r="AB34" s="1323"/>
      <c r="AC34" s="1323"/>
      <c r="AD34" s="1323"/>
    </row>
    <row r="35" spans="14:30">
      <c r="N35" s="1031" t="s">
        <v>640</v>
      </c>
      <c r="O35" s="1321" t="s">
        <v>871</v>
      </c>
      <c r="P35" s="1321"/>
      <c r="Q35" s="1321"/>
      <c r="R35" s="1321"/>
      <c r="S35" s="1321"/>
      <c r="T35" s="1321"/>
      <c r="U35" s="1321"/>
      <c r="V35" s="1321"/>
      <c r="W35" s="1321"/>
      <c r="Y35" s="1031" t="s">
        <v>650</v>
      </c>
      <c r="Z35" s="1323" t="s">
        <v>651</v>
      </c>
      <c r="AA35" s="1323"/>
      <c r="AB35" s="1323"/>
      <c r="AC35" s="1323"/>
      <c r="AD35" s="1323"/>
    </row>
    <row r="36" spans="14:30">
      <c r="N36" s="1031" t="s">
        <v>645</v>
      </c>
      <c r="O36" s="1321" t="s">
        <v>649</v>
      </c>
      <c r="P36" s="1321"/>
      <c r="Q36" s="1321"/>
      <c r="R36" s="1321"/>
      <c r="S36" s="1321"/>
      <c r="T36" s="1321"/>
      <c r="U36" s="1321"/>
      <c r="V36" s="1321"/>
      <c r="W36" s="1321"/>
      <c r="Y36" s="1031" t="s">
        <v>641</v>
      </c>
      <c r="Z36" s="1323" t="s">
        <v>642</v>
      </c>
      <c r="AA36" s="1323"/>
      <c r="AB36" s="1323"/>
      <c r="AC36" s="1323"/>
      <c r="AD36" s="1323"/>
    </row>
    <row r="37" spans="14:30">
      <c r="N37" s="1031" t="s">
        <v>652</v>
      </c>
      <c r="O37" s="1321" t="s">
        <v>653</v>
      </c>
      <c r="P37" s="1321"/>
      <c r="Q37" s="1321"/>
      <c r="R37" s="1321"/>
      <c r="S37" s="1321"/>
      <c r="T37" s="1321"/>
      <c r="U37" s="1321"/>
      <c r="V37" s="1321"/>
      <c r="W37" s="1321"/>
      <c r="Y37" s="1032" t="s">
        <v>643</v>
      </c>
      <c r="Z37" s="1324" t="s">
        <v>644</v>
      </c>
      <c r="AA37" s="1324"/>
      <c r="AB37" s="1324"/>
      <c r="AC37" s="1324"/>
      <c r="AD37" s="1324"/>
    </row>
    <row r="38" spans="14:30">
      <c r="N38" s="1031" t="s">
        <v>647</v>
      </c>
      <c r="O38" s="1321" t="s">
        <v>654</v>
      </c>
      <c r="P38" s="1321"/>
      <c r="Q38" s="1321"/>
      <c r="R38" s="1321"/>
      <c r="S38" s="1321"/>
      <c r="T38" s="1321"/>
      <c r="U38" s="1321"/>
      <c r="V38" s="1321"/>
      <c r="W38" s="1321"/>
    </row>
    <row r="39" spans="14:30">
      <c r="N39" s="1032" t="s">
        <v>650</v>
      </c>
      <c r="O39" s="1322" t="s">
        <v>655</v>
      </c>
      <c r="P39" s="1322"/>
      <c r="Q39" s="1322"/>
      <c r="R39" s="1322"/>
      <c r="S39" s="1322"/>
      <c r="T39" s="1322"/>
      <c r="U39" s="1322"/>
      <c r="V39" s="1322"/>
      <c r="W39" s="1322"/>
    </row>
  </sheetData>
  <sheetProtection algorithmName="SHA-512" hashValue="nzDYFSDS+W63rC1tVxfd4iz8seE/6Gx0rM371tOygvG49L1vhMzlRSzmKdq+ZcUZfbyBXbHycfaS4EDC4WtufQ==" saltValue="TOp58RpUN4w29Bfrx+mvf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q0r/9UVTM0lo0v9cHnKmeT5khcwcxDjtiYlunSzoJwMYeSPVHLpX3Ii+ogCF1SN9/VKRpiE8tsfaek3pl0RsA==" saltValue="GJ94KnGNuGzg6k3xa4W9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743</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v>3462</v>
      </c>
      <c r="J9" s="181">
        <v>2346</v>
      </c>
      <c r="K9" s="181">
        <v>2256</v>
      </c>
      <c r="L9" s="181">
        <v>3552</v>
      </c>
      <c r="M9" s="181">
        <v>670</v>
      </c>
      <c r="N9" s="181">
        <v>846</v>
      </c>
      <c r="O9" s="181">
        <v>1160</v>
      </c>
      <c r="P9" s="181">
        <v>472</v>
      </c>
      <c r="Q9" s="181">
        <v>255</v>
      </c>
      <c r="R9" s="181">
        <v>7503</v>
      </c>
      <c r="S9" s="181">
        <v>2737</v>
      </c>
      <c r="T9" s="181">
        <v>882</v>
      </c>
      <c r="U9" s="181">
        <v>804</v>
      </c>
      <c r="V9" s="181">
        <v>2815</v>
      </c>
      <c r="W9" s="181">
        <v>244</v>
      </c>
      <c r="X9" s="188">
        <v>311</v>
      </c>
      <c r="Y9" s="191">
        <v>121</v>
      </c>
      <c r="Z9" s="181">
        <v>165</v>
      </c>
      <c r="AA9" s="181">
        <v>165</v>
      </c>
      <c r="AB9" s="181">
        <v>121</v>
      </c>
      <c r="AC9" s="181">
        <v>0</v>
      </c>
      <c r="AD9" s="181">
        <v>0</v>
      </c>
      <c r="AE9" s="181">
        <v>0</v>
      </c>
      <c r="AF9" s="188">
        <v>0</v>
      </c>
      <c r="AG9" s="191">
        <v>112</v>
      </c>
      <c r="AH9" s="181">
        <v>69</v>
      </c>
      <c r="AI9" s="181">
        <v>54</v>
      </c>
      <c r="AJ9" s="192">
        <v>127</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2849</v>
      </c>
      <c r="AZ9" s="123">
        <f>IF(ISNUMBER(IF(J_V="SI",T9,T9+AH9)),IF(J_V="SI",T9,T9+AH9)," - ")</f>
        <v>951</v>
      </c>
      <c r="BA9" s="124">
        <f>IF(ISNUMBER(IF(J_V="SI",U9,U9+AI9)),IF(J_V="SI",U9,U9+AI9)," - ")</f>
        <v>858</v>
      </c>
      <c r="BB9" s="124">
        <f>IF(ISNUMBER(IF(J_V="SI",V9,V9+AJ9)),IF(J_V="SI",V9,V9+AJ9)," - ")</f>
        <v>2942</v>
      </c>
      <c r="BC9" s="125">
        <f>IF(ISNUMBER(X9),X9," - ")</f>
        <v>311</v>
      </c>
      <c r="BD9" s="126">
        <f>IF(ISNUMBER(BA9/AZ9),BA9/AZ9," - ")</f>
        <v>0.90220820189274453</v>
      </c>
      <c r="BE9" s="127">
        <f>IF(ISNUMBER(BB9/BA9),BB9/BA9, " - ")</f>
        <v>3.428904428904429</v>
      </c>
      <c r="BF9" s="127">
        <f>IF(ISNUMBER(BC9/BA9),BC9/BA9, " - ")</f>
        <v>0.36247086247086246</v>
      </c>
      <c r="BG9" s="196">
        <f>IF(ISNUMBER((AY9+AZ9)/BA9),(AY9+AZ9)/BA9," - ")</f>
        <v>4.4289044289044286</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57</v>
      </c>
      <c r="J10" s="181">
        <v>32</v>
      </c>
      <c r="K10" s="181">
        <v>27</v>
      </c>
      <c r="L10" s="181">
        <v>62</v>
      </c>
      <c r="M10" s="181">
        <v>7</v>
      </c>
      <c r="N10" s="181">
        <v>11</v>
      </c>
      <c r="O10" s="181">
        <v>9</v>
      </c>
      <c r="P10" s="181">
        <v>2</v>
      </c>
      <c r="Q10" s="181">
        <v>5</v>
      </c>
      <c r="R10" s="181">
        <v>70</v>
      </c>
      <c r="S10" s="181">
        <v>65</v>
      </c>
      <c r="T10" s="181">
        <v>41</v>
      </c>
      <c r="U10" s="181">
        <v>24</v>
      </c>
      <c r="V10" s="181">
        <v>67</v>
      </c>
      <c r="W10" s="181">
        <v>2</v>
      </c>
      <c r="X10" s="188">
        <v>17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65</v>
      </c>
      <c r="AZ10" s="129">
        <f t="shared" si="0"/>
        <v>41</v>
      </c>
      <c r="BA10" s="129">
        <f t="shared" si="0"/>
        <v>24</v>
      </c>
      <c r="BB10" s="129">
        <f t="shared" si="0"/>
        <v>67</v>
      </c>
      <c r="BC10" s="125">
        <f t="shared" si="0"/>
        <v>2</v>
      </c>
      <c r="BD10" s="126">
        <f>IF(ISNUMBER(BA10/AZ10),BA10/AZ10," - ")</f>
        <v>0.58536585365853655</v>
      </c>
      <c r="BE10" s="127">
        <f>IF(ISNUMBER(BB10/BA10),BB10/BA10, " - ")</f>
        <v>2.7916666666666665</v>
      </c>
      <c r="BF10" s="127">
        <f>IF(ISNUMBER(BC10/BA10),BC10/BA10, " - ")</f>
        <v>8.3333333333333329E-2</v>
      </c>
      <c r="BG10" s="196">
        <f>IF(ISNUMBER((AY10+AZ10)/BA10),(AY10+AZ10)/BA10," - ")</f>
        <v>4.416666666666667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744</v>
      </c>
      <c r="J11" s="183">
        <v>296</v>
      </c>
      <c r="K11" s="183">
        <v>335</v>
      </c>
      <c r="L11" s="183">
        <v>705</v>
      </c>
      <c r="M11" s="183">
        <v>73</v>
      </c>
      <c r="N11" s="183">
        <v>384</v>
      </c>
      <c r="O11" s="181">
        <v>203</v>
      </c>
      <c r="P11" s="183">
        <v>23</v>
      </c>
      <c r="Q11" s="183">
        <v>50</v>
      </c>
      <c r="R11" s="183">
        <v>359</v>
      </c>
      <c r="S11" s="183">
        <v>767</v>
      </c>
      <c r="T11" s="183">
        <v>239</v>
      </c>
      <c r="U11" s="183">
        <v>231</v>
      </c>
      <c r="V11" s="183">
        <v>751</v>
      </c>
      <c r="W11" s="183">
        <v>100</v>
      </c>
      <c r="X11" s="189">
        <v>256</v>
      </c>
      <c r="Y11" s="191">
        <v>340</v>
      </c>
      <c r="Z11" s="181">
        <v>207</v>
      </c>
      <c r="AA11" s="181">
        <v>243</v>
      </c>
      <c r="AB11" s="181">
        <v>304</v>
      </c>
      <c r="AC11" s="183">
        <v>0</v>
      </c>
      <c r="AD11" s="183">
        <v>0</v>
      </c>
      <c r="AE11" s="183">
        <v>0</v>
      </c>
      <c r="AF11" s="189">
        <v>0</v>
      </c>
      <c r="AG11" s="202">
        <v>205</v>
      </c>
      <c r="AH11" s="183">
        <v>307</v>
      </c>
      <c r="AI11" s="183">
        <v>228</v>
      </c>
      <c r="AJ11" s="203">
        <v>284</v>
      </c>
      <c r="AK11" s="182">
        <v>0</v>
      </c>
      <c r="AL11" s="183">
        <v>0</v>
      </c>
      <c r="AM11" s="183">
        <v>0</v>
      </c>
      <c r="AN11" s="189">
        <v>0</v>
      </c>
      <c r="AO11" s="259">
        <v>1</v>
      </c>
      <c r="AP11" s="155">
        <v>1</v>
      </c>
      <c r="AQ11" s="155">
        <v>1</v>
      </c>
      <c r="AR11" s="154">
        <v>1</v>
      </c>
      <c r="AS11" s="340" t="s">
        <v>793</v>
      </c>
      <c r="AT11" s="203"/>
      <c r="AU11" s="202"/>
      <c r="AV11" s="203"/>
      <c r="AW11" s="202"/>
      <c r="AX11" s="203"/>
      <c r="AY11" s="126">
        <f t="shared" ref="AY11:BB12" si="1">IF(ISNUMBER(IF(J_V="SI",S11,S11+AG11)),IF(J_V="SI",S11,S11+AG11)," - ")</f>
        <v>972</v>
      </c>
      <c r="AZ11" s="127">
        <f t="shared" si="1"/>
        <v>546</v>
      </c>
      <c r="BA11" s="127">
        <f t="shared" si="1"/>
        <v>459</v>
      </c>
      <c r="BB11" s="127">
        <f t="shared" si="1"/>
        <v>1035</v>
      </c>
      <c r="BC11" s="125">
        <f>IF(ISNUMBER(X11),X11," - ")</f>
        <v>256</v>
      </c>
      <c r="BD11" s="126">
        <f t="shared" ref="BD11:BD12" si="2">IF(ISNUMBER(BA11/AZ11),BA11/AZ11," - ")</f>
        <v>0.84065934065934067</v>
      </c>
      <c r="BE11" s="127">
        <f t="shared" ref="BE11:BE12" si="3">IF(ISNUMBER(BB11/BA11),BB11/BA11, " - ")</f>
        <v>2.2549019607843137</v>
      </c>
      <c r="BF11" s="127">
        <f t="shared" ref="BF11:BF12" si="4">IF(ISNUMBER(BC11/BA11),BC11/BA11, " - ")</f>
        <v>0.55773420479302838</v>
      </c>
      <c r="BG11" s="196">
        <f t="shared" ref="BG11:BG12" si="5">IF(ISNUMBER((AY11+AZ11)/BA11),(AY11+AZ11)/BA11," - ")</f>
        <v>3.3071895424836599</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798</v>
      </c>
      <c r="J12" s="183" t="s">
        <v>792</v>
      </c>
      <c r="K12" s="183" t="s">
        <v>841</v>
      </c>
      <c r="L12" s="183" t="s">
        <v>803</v>
      </c>
      <c r="M12" s="183" t="s">
        <v>483</v>
      </c>
      <c r="N12" s="183" t="s">
        <v>497</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4263</v>
      </c>
      <c r="J13" s="184">
        <f t="shared" si="6"/>
        <v>2674</v>
      </c>
      <c r="K13" s="184">
        <f t="shared" si="6"/>
        <v>2618</v>
      </c>
      <c r="L13" s="184">
        <f t="shared" si="6"/>
        <v>4319</v>
      </c>
      <c r="M13" s="184">
        <f t="shared" si="6"/>
        <v>750</v>
      </c>
      <c r="N13" s="184">
        <f t="shared" si="6"/>
        <v>1241</v>
      </c>
      <c r="O13" s="184">
        <f t="shared" si="6"/>
        <v>1372</v>
      </c>
      <c r="P13" s="184">
        <f t="shared" si="6"/>
        <v>497</v>
      </c>
      <c r="Q13" s="184">
        <f t="shared" si="6"/>
        <v>310</v>
      </c>
      <c r="R13" s="184">
        <f t="shared" si="6"/>
        <v>7932</v>
      </c>
      <c r="S13" s="184">
        <f t="shared" si="6"/>
        <v>3569</v>
      </c>
      <c r="T13" s="184">
        <f t="shared" si="6"/>
        <v>1162</v>
      </c>
      <c r="U13" s="184">
        <f t="shared" si="6"/>
        <v>1059</v>
      </c>
      <c r="V13" s="184">
        <f t="shared" si="6"/>
        <v>3633</v>
      </c>
      <c r="W13" s="184">
        <f t="shared" si="6"/>
        <v>346</v>
      </c>
      <c r="X13" s="184">
        <f t="shared" si="6"/>
        <v>584</v>
      </c>
      <c r="Y13" s="184">
        <f t="shared" si="6"/>
        <v>461</v>
      </c>
      <c r="Z13" s="184">
        <f t="shared" si="6"/>
        <v>372</v>
      </c>
      <c r="AA13" s="184">
        <f t="shared" si="6"/>
        <v>408</v>
      </c>
      <c r="AB13" s="184">
        <f t="shared" si="6"/>
        <v>425</v>
      </c>
      <c r="AC13" s="184">
        <f t="shared" si="6"/>
        <v>0</v>
      </c>
      <c r="AD13" s="184">
        <f t="shared" si="6"/>
        <v>0</v>
      </c>
      <c r="AE13" s="184">
        <f t="shared" si="6"/>
        <v>0</v>
      </c>
      <c r="AF13" s="184">
        <f>SUBTOTAL(9,AF9:AF12)</f>
        <v>0</v>
      </c>
      <c r="AG13" s="184">
        <f t="shared" ref="AG13:AT13" si="7">SUBTOTAL(9,AG8:AG12)</f>
        <v>317</v>
      </c>
      <c r="AH13" s="184">
        <f t="shared" si="7"/>
        <v>376</v>
      </c>
      <c r="AI13" s="184">
        <f t="shared" si="7"/>
        <v>282</v>
      </c>
      <c r="AJ13" s="184">
        <f t="shared" si="7"/>
        <v>411</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3886</v>
      </c>
      <c r="AZ13" s="184">
        <f>SUBTOTAL(9,AZ8:AZ12)</f>
        <v>1538</v>
      </c>
      <c r="BA13" s="184">
        <f>SUBTOTAL(9,BA8:BA12)</f>
        <v>1341</v>
      </c>
      <c r="BB13" s="184">
        <f>SUBTOTAL(9,BB8:BB12)</f>
        <v>4044</v>
      </c>
      <c r="BC13" s="184">
        <f>SUBTOTAL(9,BC8:BC12)</f>
        <v>569</v>
      </c>
      <c r="BD13" s="205">
        <f>IF(ISNUMBER(BA13/AZ13),BA13/AZ13," - ")</f>
        <v>0.87191157347204162</v>
      </c>
      <c r="BE13" s="206">
        <f>IF(ISNUMBER(BB13/BA13),BB13/BA13, " - ")</f>
        <v>3.0156599552572705</v>
      </c>
      <c r="BF13" s="206">
        <f>IF(ISNUMBER(BC13/BA13),BC13/BA13, " - ")</f>
        <v>0.42431021625652499</v>
      </c>
      <c r="BG13" s="207">
        <f>IF(ISNUMBER((AY13+AZ13)/BA13),(AY13+AZ13)/BA13," - ")</f>
        <v>4.0447427293064875</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2340</v>
      </c>
      <c r="J15" s="183">
        <v>1352</v>
      </c>
      <c r="K15" s="183">
        <v>1424</v>
      </c>
      <c r="L15" s="183">
        <v>2288</v>
      </c>
      <c r="M15" s="183">
        <v>258</v>
      </c>
      <c r="N15" s="183">
        <v>582</v>
      </c>
      <c r="O15" s="181">
        <v>10</v>
      </c>
      <c r="P15" s="183">
        <v>67</v>
      </c>
      <c r="Q15" s="183">
        <v>68</v>
      </c>
      <c r="R15" s="183">
        <v>163</v>
      </c>
      <c r="S15" s="183">
        <v>1360</v>
      </c>
      <c r="T15" s="183">
        <v>999</v>
      </c>
      <c r="U15" s="183">
        <v>726</v>
      </c>
      <c r="V15" s="183">
        <v>1685</v>
      </c>
      <c r="W15" s="183">
        <v>83</v>
      </c>
      <c r="X15" s="189">
        <v>384</v>
      </c>
      <c r="Y15" s="202">
        <v>0</v>
      </c>
      <c r="Z15" s="183">
        <v>0</v>
      </c>
      <c r="AA15" s="183">
        <v>0</v>
      </c>
      <c r="AB15" s="183">
        <v>0</v>
      </c>
      <c r="AC15" s="183">
        <v>0</v>
      </c>
      <c r="AD15" s="183">
        <v>0</v>
      </c>
      <c r="AE15" s="183">
        <v>0</v>
      </c>
      <c r="AF15" s="189">
        <v>0</v>
      </c>
      <c r="AG15" s="202">
        <v>0</v>
      </c>
      <c r="AH15" s="183">
        <v>0</v>
      </c>
      <c r="AI15" s="183">
        <v>0</v>
      </c>
      <c r="AJ15" s="203">
        <v>0</v>
      </c>
      <c r="AK15" s="182">
        <v>0</v>
      </c>
      <c r="AL15" s="183">
        <v>0</v>
      </c>
      <c r="AM15" s="183">
        <v>0</v>
      </c>
      <c r="AN15" s="189">
        <v>0</v>
      </c>
      <c r="AO15" s="259">
        <v>3</v>
      </c>
      <c r="AP15" s="155">
        <v>3</v>
      </c>
      <c r="AQ15" s="155">
        <v>3</v>
      </c>
      <c r="AR15" s="155">
        <v>3</v>
      </c>
      <c r="AS15" s="340" t="s">
        <v>519</v>
      </c>
      <c r="AT15" s="203" t="s">
        <v>326</v>
      </c>
      <c r="AU15" s="202"/>
      <c r="AV15" s="203"/>
      <c r="AW15" s="202"/>
      <c r="AX15" s="203"/>
      <c r="AY15" s="128">
        <f t="shared" ref="AY15:BB16" si="9">IF(ISNUMBER(IF(D_I="SI",S15,S15+AK15)),IF(D_I="SI",S15,S15+AK15)," - ")</f>
        <v>1360</v>
      </c>
      <c r="AZ15" s="129">
        <f t="shared" si="9"/>
        <v>999</v>
      </c>
      <c r="BA15" s="129">
        <f t="shared" si="9"/>
        <v>726</v>
      </c>
      <c r="BB15" s="129">
        <f t="shared" si="9"/>
        <v>1685</v>
      </c>
      <c r="BC15" s="125">
        <f>IF(ISNUMBER(W15),W15," - ")</f>
        <v>83</v>
      </c>
      <c r="BD15" s="126">
        <f>IF(ISNUMBER(BA15/AZ15),BA15/AZ15," - ")</f>
        <v>0.72672672672672678</v>
      </c>
      <c r="BE15" s="127">
        <f>IF(ISNUMBER(BB15/BA15),BB15/BA15, " - ")</f>
        <v>2.3209366391184574</v>
      </c>
      <c r="BF15" s="127">
        <f>IF(ISNUMBER(BC15/BA15),BC15/BA15, " - ")</f>
        <v>0.11432506887052342</v>
      </c>
      <c r="BG15" s="196">
        <f t="shared" ref="BG15:BG16" si="10">IF(ISNUMBER((AY15+AZ15)/BA15),(AY15+AZ15)/BA15," - ")</f>
        <v>3.2493112947658402</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v>
      </c>
      <c r="J16" s="183">
        <v>0</v>
      </c>
      <c r="K16" s="183">
        <v>0</v>
      </c>
      <c r="L16" s="183">
        <v>1</v>
      </c>
      <c r="M16" s="183">
        <v>0</v>
      </c>
      <c r="N16" s="183">
        <v>0</v>
      </c>
      <c r="O16" s="181">
        <v>0</v>
      </c>
      <c r="P16" s="183">
        <v>0</v>
      </c>
      <c r="Q16" s="183">
        <v>0</v>
      </c>
      <c r="R16" s="183">
        <v>0</v>
      </c>
      <c r="S16" s="183">
        <v>1</v>
      </c>
      <c r="T16" s="183">
        <v>0</v>
      </c>
      <c r="U16" s="183">
        <v>0</v>
      </c>
      <c r="V16" s="183">
        <v>1</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1</v>
      </c>
      <c r="AZ16" s="127">
        <f t="shared" si="9"/>
        <v>0</v>
      </c>
      <c r="BA16" s="127">
        <f t="shared" si="9"/>
        <v>0</v>
      </c>
      <c r="BB16" s="127">
        <f t="shared" si="9"/>
        <v>1</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169</v>
      </c>
      <c r="J17" s="183">
        <v>184</v>
      </c>
      <c r="K17" s="183">
        <v>190</v>
      </c>
      <c r="L17" s="183">
        <v>171</v>
      </c>
      <c r="M17" s="183">
        <v>24</v>
      </c>
      <c r="N17" s="183">
        <v>110</v>
      </c>
      <c r="O17" s="183">
        <v>2</v>
      </c>
      <c r="P17" s="183">
        <v>2</v>
      </c>
      <c r="Q17" s="183">
        <v>2</v>
      </c>
      <c r="R17" s="183">
        <v>4</v>
      </c>
      <c r="S17" s="183">
        <v>151</v>
      </c>
      <c r="T17" s="183">
        <v>185</v>
      </c>
      <c r="U17" s="183">
        <v>165</v>
      </c>
      <c r="V17" s="183">
        <v>172</v>
      </c>
      <c r="W17" s="183">
        <v>16</v>
      </c>
      <c r="X17" s="189">
        <v>67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151</v>
      </c>
      <c r="AZ17" s="129">
        <f t="shared" si="14"/>
        <v>185</v>
      </c>
      <c r="BA17" s="129">
        <f t="shared" si="14"/>
        <v>165</v>
      </c>
      <c r="BB17" s="129">
        <f t="shared" si="14"/>
        <v>172</v>
      </c>
      <c r="BC17" s="125">
        <f>IF(ISNUMBER(W17),W17," - ")</f>
        <v>16</v>
      </c>
      <c r="BD17" s="126">
        <f>IF(ISNUMBER(BA17/AZ17),BA17/AZ17," - ")</f>
        <v>0.89189189189189189</v>
      </c>
      <c r="BE17" s="127">
        <f>IF(ISNUMBER(BB17/BA17),BB17/BA17, " - ")</f>
        <v>1.0424242424242425</v>
      </c>
      <c r="BF17" s="127">
        <f>IF(ISNUMBER(BC17/BA17),BC17/BA17, " - ")</f>
        <v>9.696969696969697E-2</v>
      </c>
      <c r="BG17" s="196">
        <f>IF(ISNUMBER((AY17+AZ17)/BA17),(AY17+AZ17)/BA17," - ")</f>
        <v>2.0363636363636362</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2510</v>
      </c>
      <c r="J18" s="184">
        <f t="shared" si="15"/>
        <v>1536</v>
      </c>
      <c r="K18" s="184">
        <f t="shared" si="15"/>
        <v>1614</v>
      </c>
      <c r="L18" s="184">
        <f t="shared" si="15"/>
        <v>2460</v>
      </c>
      <c r="M18" s="184">
        <f t="shared" si="15"/>
        <v>282</v>
      </c>
      <c r="N18" s="184">
        <f t="shared" si="15"/>
        <v>692</v>
      </c>
      <c r="O18" s="184">
        <f t="shared" si="15"/>
        <v>12</v>
      </c>
      <c r="P18" s="184">
        <f t="shared" si="15"/>
        <v>69</v>
      </c>
      <c r="Q18" s="184">
        <f t="shared" si="15"/>
        <v>70</v>
      </c>
      <c r="R18" s="184">
        <f t="shared" si="15"/>
        <v>167</v>
      </c>
      <c r="S18" s="184">
        <f t="shared" si="15"/>
        <v>1512</v>
      </c>
      <c r="T18" s="184">
        <f t="shared" si="15"/>
        <v>1184</v>
      </c>
      <c r="U18" s="184">
        <f t="shared" si="15"/>
        <v>891</v>
      </c>
      <c r="V18" s="184">
        <f t="shared" si="15"/>
        <v>1858</v>
      </c>
      <c r="W18" s="184">
        <f t="shared" si="15"/>
        <v>99</v>
      </c>
      <c r="X18" s="184">
        <f t="shared" si="15"/>
        <v>451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1512</v>
      </c>
      <c r="AZ18" s="184">
        <f>SUBTOTAL(9,AZ14:AZ17)</f>
        <v>1184</v>
      </c>
      <c r="BA18" s="184">
        <f>SUBTOTAL(9,BA14:BA17)</f>
        <v>891</v>
      </c>
      <c r="BB18" s="184">
        <f>SUBTOTAL(9,BB14:BB17)</f>
        <v>1858</v>
      </c>
      <c r="BC18" s="184">
        <f>SUBTOTAL(9,BC14:BC17)</f>
        <v>99</v>
      </c>
      <c r="BD18" s="205">
        <f>IF(ISNUMBER(BA18/AZ18),BA18/AZ18," - ")</f>
        <v>0.75253378378378377</v>
      </c>
      <c r="BE18" s="206">
        <f>IF(ISNUMBER(BB18/BA18),BB18/BA18, " - ")</f>
        <v>2.085297418630752</v>
      </c>
      <c r="BF18" s="206">
        <f>IF(ISNUMBER(BC18/BA18),BC18/BA18, " - ")</f>
        <v>0.1111111111111111</v>
      </c>
      <c r="BG18" s="207">
        <f>IF(ISNUMBER((AY18+AZ18)/BA18),(AY18+AZ18)/BA18," - ")</f>
        <v>3.0258136924803591</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6773</v>
      </c>
      <c r="J19" s="134">
        <f t="shared" si="18"/>
        <v>4210</v>
      </c>
      <c r="K19" s="134">
        <f t="shared" si="18"/>
        <v>4232</v>
      </c>
      <c r="L19" s="134">
        <f t="shared" si="18"/>
        <v>6779</v>
      </c>
      <c r="M19" s="134">
        <f t="shared" si="18"/>
        <v>1032</v>
      </c>
      <c r="N19" s="134">
        <f t="shared" si="18"/>
        <v>1933</v>
      </c>
      <c r="O19" s="134">
        <f t="shared" si="18"/>
        <v>1384</v>
      </c>
      <c r="P19" s="134">
        <f t="shared" si="18"/>
        <v>566</v>
      </c>
      <c r="Q19" s="134">
        <f t="shared" si="18"/>
        <v>380</v>
      </c>
      <c r="R19" s="134">
        <f t="shared" si="18"/>
        <v>8099</v>
      </c>
      <c r="S19" s="134">
        <f t="shared" si="18"/>
        <v>5081</v>
      </c>
      <c r="T19" s="134">
        <f t="shared" si="18"/>
        <v>2346</v>
      </c>
      <c r="U19" s="134">
        <f t="shared" si="18"/>
        <v>1950</v>
      </c>
      <c r="V19" s="134">
        <f t="shared" si="18"/>
        <v>5491</v>
      </c>
      <c r="W19" s="134">
        <f t="shared" si="18"/>
        <v>445</v>
      </c>
      <c r="X19" s="134">
        <f t="shared" si="18"/>
        <v>1035</v>
      </c>
      <c r="Y19" s="134">
        <f t="shared" si="18"/>
        <v>461</v>
      </c>
      <c r="Z19" s="134">
        <f t="shared" si="18"/>
        <v>372</v>
      </c>
      <c r="AA19" s="134">
        <f t="shared" si="18"/>
        <v>408</v>
      </c>
      <c r="AB19" s="134">
        <f t="shared" si="18"/>
        <v>425</v>
      </c>
      <c r="AC19" s="134">
        <f t="shared" si="18"/>
        <v>0</v>
      </c>
      <c r="AD19" s="134">
        <f t="shared" si="18"/>
        <v>0</v>
      </c>
      <c r="AE19" s="134">
        <f t="shared" si="18"/>
        <v>0</v>
      </c>
      <c r="AF19" s="134">
        <f t="shared" si="18"/>
        <v>0</v>
      </c>
      <c r="AG19" s="134">
        <f t="shared" si="18"/>
        <v>317</v>
      </c>
      <c r="AH19" s="134">
        <f t="shared" si="18"/>
        <v>376</v>
      </c>
      <c r="AI19" s="134">
        <f t="shared" si="18"/>
        <v>282</v>
      </c>
      <c r="AJ19" s="134">
        <f t="shared" si="18"/>
        <v>411</v>
      </c>
      <c r="AK19" s="134">
        <f t="shared" si="18"/>
        <v>0</v>
      </c>
      <c r="AL19" s="134">
        <f t="shared" si="18"/>
        <v>0</v>
      </c>
      <c r="AM19" s="134">
        <f t="shared" si="18"/>
        <v>0</v>
      </c>
      <c r="AN19" s="210">
        <f t="shared" si="18"/>
        <v>0</v>
      </c>
      <c r="AO19" s="211">
        <v>11</v>
      </c>
      <c r="AP19" s="211">
        <v>10</v>
      </c>
      <c r="AQ19" s="211">
        <v>10</v>
      </c>
      <c r="AR19" s="211">
        <v>10</v>
      </c>
      <c r="AS19" s="153">
        <f t="shared" si="18"/>
        <v>0</v>
      </c>
      <c r="AT19" s="153">
        <f t="shared" si="18"/>
        <v>0</v>
      </c>
      <c r="AU19" s="211"/>
      <c r="AV19" s="212"/>
      <c r="AW19" s="211"/>
      <c r="AX19" s="212"/>
      <c r="AY19" s="133">
        <f>SUBTOTAL(9,AY9:AY18)</f>
        <v>5398</v>
      </c>
      <c r="AZ19" s="134">
        <f>SUBTOTAL(9,AZ9:AZ18)</f>
        <v>2722</v>
      </c>
      <c r="BA19" s="134">
        <f>SUBTOTAL(9,BA9:BA18)</f>
        <v>2232</v>
      </c>
      <c r="BB19" s="134">
        <f>SUBTOTAL(9,BB9:BB18)</f>
        <v>5902</v>
      </c>
      <c r="BC19" s="135">
        <f>SUBTOTAL(9,BC9:BC18)</f>
        <v>668</v>
      </c>
      <c r="BD19" s="213">
        <f>IF(ISNUMBER(BA19/AZ19),BA19/AZ19," - ")</f>
        <v>0.81998530492285082</v>
      </c>
      <c r="BE19" s="210">
        <f>IF(ISNUMBER(BB19/BA19),BB19/BA19, " - ")</f>
        <v>2.6442652329749103</v>
      </c>
      <c r="BF19" s="210">
        <f>IF(ISNUMBER(BC19/BA19),BC19/BA19, " - ")</f>
        <v>0.29928315412186379</v>
      </c>
      <c r="BG19" s="135">
        <f>IF(ISNUMBER((AY19+AZ19)/BA19),(AY19+AZ19)/BA19," - ")</f>
        <v>3.6379928315412187</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IZ9leFBRsrnuhnTIJdaflyjqoLVqyqDhI0N/KybaPBXn0Ul/W06ObLNMwLlEEb4ReFSYUHf1Ox4slAS126b1g==" saltValue="qAZg6YZIzIm6+X8zo/mhA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476</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612</v>
      </c>
      <c r="ED5" s="1389" t="s">
        <v>582</v>
      </c>
      <c r="EE5" s="1389" t="s">
        <v>615</v>
      </c>
      <c r="EF5" s="1389" t="s">
        <v>616</v>
      </c>
      <c r="EG5" s="1358" t="s">
        <v>617</v>
      </c>
      <c r="EH5" s="1358" t="s">
        <v>618</v>
      </c>
      <c r="EI5" s="1358" t="s">
        <v>584</v>
      </c>
      <c r="EJ5" s="1358" t="s">
        <v>585</v>
      </c>
      <c r="EK5" s="1484" t="s">
        <v>662</v>
      </c>
      <c r="EL5" s="1376" t="s">
        <v>678</v>
      </c>
      <c r="EM5" s="1377"/>
      <c r="EN5" s="1378"/>
      <c r="EO5" s="1370" t="s">
        <v>735</v>
      </c>
      <c r="EP5" s="1370" t="s">
        <v>737</v>
      </c>
      <c r="EQ5" s="1370" t="s">
        <v>738</v>
      </c>
      <c r="ER5" s="1370" t="s">
        <v>743</v>
      </c>
      <c r="ES5" s="1370" t="s">
        <v>748</v>
      </c>
      <c r="ET5" s="1367" t="s">
        <v>812</v>
      </c>
      <c r="EU5" s="1367" t="s">
        <v>813</v>
      </c>
      <c r="EV5" s="1395" t="s">
        <v>829</v>
      </c>
      <c r="EW5" s="1358" t="s">
        <v>832</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734</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679</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row>
    <row r="9" spans="1:155"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row>
    <row r="10" spans="1:155"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row>
    <row r="11" spans="1:155"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row>
    <row r="12" spans="1:155"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row>
    <row r="16" spans="1:155"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row>
    <row r="17" spans="1:155"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7Prqa6CR3mu6ltuWbGBrogNBnGAwURRI6wUeXmihV6BO/SvGCc+LNd5PdFWTzkDdlJqNzFtEMeMPkb6GWfIlw==" saltValue="kZBhJlh/ek8q8zoRloAb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OURENSE  Resumenes por Partidos Judiciales  OURENSE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657</v>
      </c>
      <c r="L5" s="1490" t="s">
        <v>554</v>
      </c>
      <c r="M5" s="1490" t="s">
        <v>522</v>
      </c>
      <c r="N5" s="1490" t="s">
        <v>658</v>
      </c>
      <c r="O5" s="1522" t="s">
        <v>580</v>
      </c>
      <c r="P5" s="1490" t="s">
        <v>676</v>
      </c>
      <c r="Q5" s="1490" t="s">
        <v>671</v>
      </c>
      <c r="R5" s="1490" t="s">
        <v>168</v>
      </c>
      <c r="S5" s="1525" t="s">
        <v>668</v>
      </c>
      <c r="T5" s="1525" t="s">
        <v>670</v>
      </c>
      <c r="U5" s="1490" t="s">
        <v>583</v>
      </c>
      <c r="V5" s="1525" t="s">
        <v>555</v>
      </c>
      <c r="W5" s="1490" t="s">
        <v>762</v>
      </c>
      <c r="X5" s="1490" t="s">
        <v>763</v>
      </c>
      <c r="Y5" s="1493" t="s">
        <v>659</v>
      </c>
      <c r="Z5" s="1508" t="s">
        <v>605</v>
      </c>
      <c r="AA5" s="1511" t="s">
        <v>556</v>
      </c>
      <c r="AB5" s="1508" t="s">
        <v>557</v>
      </c>
      <c r="AC5" s="1508" t="s">
        <v>558</v>
      </c>
      <c r="AD5" s="1487" t="s">
        <v>660</v>
      </c>
      <c r="AE5" s="1487" t="s">
        <v>790</v>
      </c>
      <c r="AF5" s="1490" t="s">
        <v>672</v>
      </c>
      <c r="AG5" s="1490" t="s">
        <v>523</v>
      </c>
      <c r="AH5" s="1490" t="s">
        <v>661</v>
      </c>
      <c r="AI5" s="1490" t="s">
        <v>179</v>
      </c>
      <c r="AJ5" s="1490" t="s">
        <v>726</v>
      </c>
      <c r="AK5" s="1490" t="s">
        <v>524</v>
      </c>
      <c r="AL5" s="1490" t="s">
        <v>525</v>
      </c>
      <c r="AM5" s="1490" t="s">
        <v>677</v>
      </c>
      <c r="AN5" s="1490" t="s">
        <v>526</v>
      </c>
      <c r="AO5" s="1490" t="s">
        <v>527</v>
      </c>
      <c r="AP5" s="1490" t="s">
        <v>528</v>
      </c>
      <c r="AQ5" s="1490" t="s">
        <v>529</v>
      </c>
      <c r="AR5" s="1490" t="s">
        <v>662</v>
      </c>
      <c r="AS5" s="1490" t="s">
        <v>182</v>
      </c>
      <c r="AT5" s="1496" t="s">
        <v>180</v>
      </c>
      <c r="AU5" s="1490" t="s">
        <v>673</v>
      </c>
      <c r="AV5" s="1499" t="s">
        <v>674</v>
      </c>
      <c r="AW5" s="1502" t="s">
        <v>531</v>
      </c>
      <c r="AX5" s="1490" t="s">
        <v>532</v>
      </c>
      <c r="AY5" s="1490" t="s">
        <v>603</v>
      </c>
      <c r="AZ5" s="1505" t="s">
        <v>604</v>
      </c>
      <c r="BA5" s="1490" t="s">
        <v>560</v>
      </c>
      <c r="BB5" s="1499" t="s">
        <v>561</v>
      </c>
      <c r="BC5" s="1502" t="s">
        <v>183</v>
      </c>
      <c r="BD5" s="1490" t="s">
        <v>562</v>
      </c>
      <c r="BE5" s="1490" t="s">
        <v>247</v>
      </c>
      <c r="BF5" s="1490" t="s">
        <v>248</v>
      </c>
      <c r="BG5" s="1490" t="s">
        <v>249</v>
      </c>
      <c r="BH5" s="1490" t="s">
        <v>563</v>
      </c>
      <c r="BI5" s="1490" t="s">
        <v>250</v>
      </c>
      <c r="BJ5" s="1490" t="s">
        <v>564</v>
      </c>
      <c r="BK5" s="1490" t="s">
        <v>578</v>
      </c>
      <c r="BL5" s="1490" t="s">
        <v>565</v>
      </c>
      <c r="BM5" s="1490" t="s">
        <v>566</v>
      </c>
      <c r="BN5" s="1490" t="s">
        <v>591</v>
      </c>
      <c r="BO5" s="1490" t="s">
        <v>584</v>
      </c>
      <c r="BP5" s="1490" t="s">
        <v>830</v>
      </c>
      <c r="BQ5" s="1490" t="s">
        <v>833</v>
      </c>
      <c r="BR5" s="1490" t="s">
        <v>835</v>
      </c>
      <c r="BS5" s="1490" t="s">
        <v>585</v>
      </c>
      <c r="BT5" s="1490" t="s">
        <v>567</v>
      </c>
      <c r="BU5" s="1490" t="s">
        <v>530</v>
      </c>
      <c r="BV5" s="1514" t="s">
        <v>764</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165</v>
      </c>
      <c r="O9" s="334"/>
      <c r="P9" s="334"/>
      <c r="Q9" s="226">
        <f>IF(ISNUMBER(Datos!P9),Datos!P9,0)</f>
        <v>472</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255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121</v>
      </c>
      <c r="AI9" s="334" t="str">
        <f>IF(ISNUMBER(Datos!CD9),Datos!CD9,"-")</f>
        <v>-</v>
      </c>
      <c r="AJ9" s="334" t="str">
        <f>IF(ISNUMBER(Datos!EN9),Datos!EN9," - ")</f>
        <v xml:space="preserve"> - </v>
      </c>
      <c r="AK9" s="334"/>
      <c r="AL9" s="479"/>
      <c r="AM9" s="335">
        <f>IF(ISNUMBER(Datos!R9),Datos!R9," - ")</f>
        <v>7503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670</v>
      </c>
      <c r="BD9" s="229">
        <f>IF(ISNUMBER(Datos!N9),Datos!N9," - ")</f>
        <v>846</v>
      </c>
      <c r="BE9" s="229" t="str">
        <f>IF(ISNUMBER(Datos!BW9),Datos!BW9," - ")</f>
        <v xml:space="preserve"> - </v>
      </c>
      <c r="BF9" s="228" t="str">
        <f>IF(ISNUMBER(Datos!BX9),Datos!BX9," - ")</f>
        <v xml:space="preserve"> - </v>
      </c>
      <c r="BG9" s="243">
        <f>IF(ISNUMBER(IF(J_V="SI",Datos!K9/Datos!J9,(Datos!K9+Datos!AA9)/(Datos!J9+Datos!Z9))),IF(J_V="SI",Datos!K9/Datos!J9,(Datos!K9+Datos!AA9)/(Datos!J9+Datos!Z9))," - ")</f>
        <v>0.96415770609318996</v>
      </c>
      <c r="BH9" s="260">
        <f>IF(ISNUMBER(((IF(J_V="SI",Datos!L9/Datos!K9,(Datos!L9+Datos!AB9)/(Datos!K9+Datos!AA9)))*11)/factor_trimestre),((IF(J_V="SI",Datos!L9/Datos!K9,(Datos!L9+Datos!AB9)/(Datos!K9+Datos!AA9)))*11)/factor_trimestre," - ")</f>
        <v>4.5514250309789341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2.9783145758989844E-2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57</v>
      </c>
      <c r="G10" s="333">
        <f>IF(ISNUMBER(Datos!I10),Datos!I10," - ")</f>
        <v>57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27</v>
      </c>
      <c r="AC10" s="226">
        <f>IF(ISNUMBER(Datos!Q10),Datos!Q10," - ")</f>
        <v>5</v>
      </c>
      <c r="AD10" s="334"/>
      <c r="AE10" s="484"/>
      <c r="AF10" s="332">
        <f>IF(ISNUMBER(Datos!L10),Datos!L10,"-")</f>
        <v>62</v>
      </c>
      <c r="AG10" s="334"/>
      <c r="AH10" s="334"/>
      <c r="AI10" s="334"/>
      <c r="AJ10" s="334"/>
      <c r="AK10" s="334"/>
      <c r="AL10" s="479"/>
      <c r="AM10" s="335">
        <f>IF(ISNUMBER(Datos!R10),Datos!R10," - ")</f>
        <v>70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11</v>
      </c>
      <c r="BE10" s="229" t="str">
        <f>IF(ISNUMBER(Datos!BW10),Datos!BW10," - ")</f>
        <v xml:space="preserve"> - </v>
      </c>
      <c r="BF10" s="228" t="str">
        <f>IF(ISNUMBER(Datos!BX10),Datos!BX10," - ")</f>
        <v xml:space="preserve"> - </v>
      </c>
      <c r="BG10" s="243">
        <f>IF(ISNUMBER(Datos!K10/Datos!J10),Datos!K10/Datos!J10," - ")</f>
        <v>0.84375</v>
      </c>
      <c r="BH10" s="260">
        <f>IF(ISNUMBER(((Datos!L10/Datos!K10)*11)/factor_trimestre),((Datos!L10/Datos!K10)*11)/factor_trimestre," - ")</f>
        <v>6.8888888888888893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-4.1095890410958902E-2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1</v>
      </c>
      <c r="B11" s="507" t="s">
        <v>246</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207</v>
      </c>
      <c r="O11" s="334"/>
      <c r="P11" s="334"/>
      <c r="Q11" s="226">
        <f>IF(ISNUMBER(Datos!P11),Datos!P11,0)</f>
        <v>23</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50</v>
      </c>
      <c r="AD11" s="334"/>
      <c r="AE11" s="484"/>
      <c r="AF11" s="332" t="str">
        <f>IF(ISNUMBER(IF(J_V="SI",Datos!L11,Datos!L11+Datos!AB11)-IF(Monitorios="SI",Datos!CD11,0)),
                          IF(J_V="SI",Datos!L11,Datos!L11+Datos!AB11)-IF(Monitorios="SI",Datos!CD11,0),
                          " - ")</f>
        <v xml:space="preserve"> - </v>
      </c>
      <c r="AG11" s="334"/>
      <c r="AH11" s="334">
        <f>IF(ISNUMBER(Datos!AB11),Datos!AB11,"-")</f>
        <v>304</v>
      </c>
      <c r="AI11" s="334"/>
      <c r="AJ11" s="334"/>
      <c r="AK11" s="334"/>
      <c r="AL11" s="479"/>
      <c r="AM11" s="335">
        <f>IF(ISNUMBER(Datos!R11),Datos!R11," - ")</f>
        <v>359</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73</v>
      </c>
      <c r="BD11" s="229">
        <f>IF(ISNUMBER(Datos!N11),Datos!N11," - ")</f>
        <v>384</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1.1491053677932406</v>
      </c>
      <c r="BH11" s="260">
        <f>IF(ISNUMBER(((IF(J_V="SI",Datos!L11/Datos!K11,(Datos!L11+Datos!AB11)/(Datos!K11+Datos!AA11)))*11)/factor_trimestre),((IF(J_V="SI",Datos!L11/Datos!K11,(Datos!L11+Datos!AB11)/(Datos!K11+Datos!AA11)))*11)/factor_trimestre," - ")</f>
        <v>5.2370242214532867</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-6.9948186528497408E-2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57</v>
      </c>
      <c r="G13" s="898">
        <f t="shared" si="0"/>
        <v>57</v>
      </c>
      <c r="H13" s="899">
        <f t="shared" si="0"/>
        <v>0</v>
      </c>
      <c r="I13" s="898">
        <f t="shared" si="0"/>
        <v>0</v>
      </c>
      <c r="J13" s="867">
        <f t="shared" si="0"/>
        <v>0</v>
      </c>
      <c r="K13" s="867">
        <f t="shared" si="0"/>
        <v>0</v>
      </c>
      <c r="L13" s="899">
        <f t="shared" si="0"/>
        <v>0</v>
      </c>
      <c r="M13" s="899">
        <f t="shared" si="0"/>
        <v>0</v>
      </c>
      <c r="N13" s="899">
        <f t="shared" si="0"/>
        <v>372</v>
      </c>
      <c r="O13" s="900">
        <f t="shared" si="0"/>
        <v>0</v>
      </c>
      <c r="P13" s="900">
        <f t="shared" si="0"/>
        <v>0</v>
      </c>
      <c r="Q13" s="899">
        <f t="shared" si="0"/>
        <v>497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27</v>
      </c>
      <c r="AC13" s="899">
        <f t="shared" si="1"/>
        <v>310</v>
      </c>
      <c r="AD13" s="899">
        <f t="shared" si="1"/>
        <v>0</v>
      </c>
      <c r="AE13" s="899">
        <f t="shared" si="1"/>
        <v>0</v>
      </c>
      <c r="AF13" s="899">
        <f t="shared" si="1"/>
        <v>62</v>
      </c>
      <c r="AG13" s="899">
        <f t="shared" si="1"/>
        <v>0</v>
      </c>
      <c r="AH13" s="899">
        <f t="shared" si="1"/>
        <v>425</v>
      </c>
      <c r="AI13" s="899">
        <f t="shared" si="1"/>
        <v>0</v>
      </c>
      <c r="AJ13" s="899">
        <f t="shared" si="1"/>
        <v>0</v>
      </c>
      <c r="AK13" s="899">
        <f t="shared" si="1"/>
        <v>0</v>
      </c>
      <c r="AL13" s="899">
        <f t="shared" si="1"/>
        <v>0</v>
      </c>
      <c r="AM13" s="899">
        <f t="shared" si="1"/>
        <v>7932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750</v>
      </c>
      <c r="BD13" s="899">
        <f t="shared" si="1"/>
        <v>1241</v>
      </c>
      <c r="BE13" s="899">
        <f t="shared" si="1"/>
        <v>0</v>
      </c>
      <c r="BF13" s="899">
        <f t="shared" si="1"/>
        <v>0</v>
      </c>
      <c r="BG13" s="899">
        <f>IF(ISNUMBER(Datos!K13/Datos!J13),Datos!K13/Datos!J13," - ")</f>
        <v>0.97905759162303663</v>
      </c>
      <c r="BH13" s="903">
        <f>IF(ISNUMBER(((Datos!L13/Datos!K13)*11)/factor_trimestre),((Datos!L13/Datos!K13)*11)/factor_trimestre," - ")</f>
        <v>4.949197860962566</v>
      </c>
      <c r="BI13" s="899">
        <f>IF(ISNUMBER('Resol  Asuntos'!D13/NºAsuntos!G13),'Resol  Asuntos'!D13/NºAsuntos!G13," - ")</f>
        <v>0.2478519497686715</v>
      </c>
      <c r="BJ13" s="899" t="str">
        <f>IF(ISNUMBER(Datos!CI13/Datos!CJ13),Datos!CI13/Datos!CJ13," - ")</f>
        <v xml:space="preserve"> - </v>
      </c>
      <c r="BK13" s="899">
        <f>SUBTOTAL(9,BK8:BK12)</f>
        <v>0</v>
      </c>
      <c r="BL13" s="899">
        <f>IF(ISNUMBER((I13-AB13+L13)/(F13)),(I13-AB13+L13)/(F13)," - ")</f>
        <v>-0.47368421052631576</v>
      </c>
      <c r="BM13" s="904">
        <f>SUBTOTAL(9,BM9:BM12)</f>
        <v>-8.126093118046647E-2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3</v>
      </c>
      <c r="B15" s="594" t="s">
        <v>396</v>
      </c>
      <c r="C15" s="600" t="str">
        <f>Datos!A15</f>
        <v xml:space="preserve">Jdos. Instrucción                               </v>
      </c>
      <c r="D15" s="601"/>
      <c r="E15" s="1165">
        <f>IF(ISNUMBER(Datos!AQ15),Datos!AQ15," - ")</f>
        <v>3</v>
      </c>
      <c r="F15" s="595">
        <f>IF(ISNUMBER(AF15+AB15-Datos!J15-L15),AF15+AB15-Datos!J15-L15," - ")</f>
        <v>2360</v>
      </c>
      <c r="G15" s="598">
        <f>IF(ISNUMBER(IF(D_I="SI",Datos!I15,Datos!I15+Datos!AC15)),IF(D_I="SI",Datos!I15,Datos!I15+Datos!AC15)," - ")</f>
        <v>2340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67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1424</v>
      </c>
      <c r="AC15" s="226">
        <f>IF(ISNUMBER(Datos!Q15),Datos!Q15," - ")</f>
        <v>68</v>
      </c>
      <c r="AD15" s="334"/>
      <c r="AE15" s="484"/>
      <c r="AF15" s="596">
        <f>IF(ISNUMBER(IF(D_I="SI",Datos!L15,Datos!L15+Datos!AF15)),IF(D_I="SI",Datos!L15,Datos!L15+Datos!AF15)," - ")</f>
        <v>2288</v>
      </c>
      <c r="AG15" s="334"/>
      <c r="AH15" s="334"/>
      <c r="AI15" s="334"/>
      <c r="AJ15" s="334"/>
      <c r="AK15" s="334"/>
      <c r="AL15" s="479"/>
      <c r="AM15" s="335">
        <f>IF(ISNUMBER(Datos!R15),Datos!R15," - ")</f>
        <v>163</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258</v>
      </c>
      <c r="BD15" s="229">
        <f>IF(ISNUMBER(Datos!N15),Datos!N15," - ")</f>
        <v>582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1.0532544378698225</v>
      </c>
      <c r="BH15" s="260">
        <f>IF(ISNUMBER(((IF(D_I="SI",Datos!L15/Datos!K15,(Datos!L15+Datos!AF15)/(Datos!K15+Datos!AE15)))*11)/factor_trimestre),((IF(D_I="SI",Datos!L15/Datos!K15,(Datos!L15+Datos!AF15)/(Datos!K15+Datos!AE15)))*11)/factor_trimestre," - ")</f>
        <v>4.820224719101124</v>
      </c>
      <c r="BI15" s="243">
        <f>IF(ISNUMBER('Resol  Asuntos'!D15/NºAsuntos!G15),'Resol  Asuntos'!D15/NºAsuntos!G15," - ")</f>
        <v>0.18117977528089887</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1</v>
      </c>
      <c r="G16" s="598">
        <f>IF(ISNUMBER(IF(D_I="SI",Datos!I16,Datos!I16+Datos!AC16)),IF(D_I="SI",Datos!I16,Datos!I16+Datos!AC16)," - ")</f>
        <v>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1</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190</v>
      </c>
      <c r="AC17" s="226">
        <f>IF(ISNUMBER(Datos!Q17),Datos!Q17," - ")</f>
        <v>2</v>
      </c>
      <c r="AD17" s="334"/>
      <c r="AE17" s="484"/>
      <c r="AF17" s="332">
        <f>IF(ISNUMBER(Datos!L17),Datos!L17,"-")</f>
        <v>171</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24</v>
      </c>
      <c r="BD17" s="229">
        <f>IF(ISNUMBER(Datos!N17),Datos!N17," - ")</f>
        <v>110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1.0326086956521738</v>
      </c>
      <c r="BH17" s="260">
        <f>IF(ISNUMBER(((IF(D_I="SI",Datos!L17/Datos!K17,(Datos!L17+Datos!AF17)/(Datos!K17+Datos!AE17)))*11)/factor_trimestre),((IF(D_I="SI",Datos!L17/Datos!K17,(Datos!L17+Datos!AF17)/(Datos!K17+Datos!AE17)))*11)/factor_trimestre," - ")</f>
        <v>2.7</v>
      </c>
      <c r="BI17" s="243">
        <f>IF(ISNUMBER('Resol  Asuntos'!D17/NºAsuntos!G17),'Resol  Asuntos'!D17/NºAsuntos!G17," - ")</f>
        <v>0.12631578947368421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2361</v>
      </c>
      <c r="G18" s="898">
        <f>SUBTOTAL(9,G15:G17)</f>
        <v>2510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1614</v>
      </c>
      <c r="AC18" s="899">
        <f t="shared" si="4"/>
        <v>70</v>
      </c>
      <c r="AD18" s="899">
        <f t="shared" si="4"/>
        <v>0</v>
      </c>
      <c r="AE18" s="899">
        <f t="shared" si="4"/>
        <v>0</v>
      </c>
      <c r="AF18" s="899">
        <f t="shared" si="4"/>
        <v>2460</v>
      </c>
      <c r="AG18" s="899">
        <f t="shared" si="4"/>
        <v>0</v>
      </c>
      <c r="AH18" s="899">
        <f t="shared" si="4"/>
        <v>0</v>
      </c>
      <c r="AI18" s="899">
        <f t="shared" si="4"/>
        <v>0</v>
      </c>
      <c r="AJ18" s="899">
        <f t="shared" si="4"/>
        <v>0</v>
      </c>
      <c r="AK18" s="899">
        <f t="shared" si="4"/>
        <v>0</v>
      </c>
      <c r="AL18" s="899">
        <f t="shared" si="4"/>
        <v>0</v>
      </c>
      <c r="AM18" s="899">
        <f t="shared" si="4"/>
        <v>167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282</v>
      </c>
      <c r="BD18" s="899">
        <f t="shared" si="4"/>
        <v>692</v>
      </c>
      <c r="BE18" s="899">
        <f t="shared" si="4"/>
        <v>0</v>
      </c>
      <c r="BF18" s="899">
        <f t="shared" si="4"/>
        <v>0</v>
      </c>
      <c r="BG18" s="899">
        <f>IF(ISNUMBER(Datos!K18/Datos!J18),Datos!K18/Datos!J18," - ")</f>
        <v>1.05078125</v>
      </c>
      <c r="BH18" s="903">
        <f>IF(ISNUMBER(((Datos!L18/Datos!K18)*11)/factor_trimestre),((Datos!L18/Datos!K18)*11)/factor_trimestre," - ")</f>
        <v>4.5724907063197033</v>
      </c>
      <c r="BI18" s="899">
        <f>SUBTOTAL(9,BI15:BI17)</f>
        <v>0.30749556475458306</v>
      </c>
      <c r="BJ18" s="899">
        <f>SUBTOTAL(9,BJ15:BJ17)</f>
        <v>0</v>
      </c>
      <c r="BK18" s="899">
        <f>SUBTOTAL(9,BK15:BK17)</f>
        <v>0</v>
      </c>
      <c r="BL18" s="899">
        <f>IF(ISNUMBER((I18-AB18+L18)/(F18)),(I18-AB18+L18)/(F18)," - ")</f>
        <v>-0.6836086404066074</v>
      </c>
      <c r="BM18" s="905">
        <f>IF(ISNUMBER((Datos!P18-Datos!Q18)/(Datos!R18-Datos!P18+Datos!Q18)),(Datos!P18-Datos!Q18)/(Datos!R18-Datos!P18+Datos!Q18)," - ")</f>
        <v>-5.9523809523809521E-3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2418</v>
      </c>
      <c r="G19" s="820">
        <f t="shared" si="6"/>
        <v>2567</v>
      </c>
      <c r="H19" s="822">
        <f t="shared" si="6"/>
        <v>0</v>
      </c>
      <c r="I19" s="820">
        <f t="shared" si="6"/>
        <v>0</v>
      </c>
      <c r="J19" s="822">
        <f t="shared" si="6"/>
        <v>0</v>
      </c>
      <c r="K19" s="822">
        <f t="shared" si="6"/>
        <v>0</v>
      </c>
      <c r="L19" s="881">
        <f t="shared" si="6"/>
        <v>0</v>
      </c>
      <c r="M19" s="881">
        <f t="shared" si="6"/>
        <v>0</v>
      </c>
      <c r="N19" s="881">
        <f t="shared" si="6"/>
        <v>372</v>
      </c>
      <c r="O19" s="881">
        <f t="shared" si="6"/>
        <v>0</v>
      </c>
      <c r="P19" s="881">
        <f t="shared" si="6"/>
        <v>0</v>
      </c>
      <c r="Q19" s="822">
        <f t="shared" si="6"/>
        <v>566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1641</v>
      </c>
      <c r="AC19" s="821">
        <f t="shared" si="7"/>
        <v>380</v>
      </c>
      <c r="AD19" s="821">
        <f t="shared" si="7"/>
        <v>0</v>
      </c>
      <c r="AE19" s="821">
        <f t="shared" si="7"/>
        <v>0</v>
      </c>
      <c r="AF19" s="828">
        <f t="shared" si="7"/>
        <v>2522</v>
      </c>
      <c r="AG19" s="828">
        <f t="shared" si="7"/>
        <v>0</v>
      </c>
      <c r="AH19" s="828">
        <f t="shared" si="7"/>
        <v>425</v>
      </c>
      <c r="AI19" s="828">
        <f t="shared" si="7"/>
        <v>0</v>
      </c>
      <c r="AJ19" s="821">
        <f t="shared" si="7"/>
        <v>0</v>
      </c>
      <c r="AK19" s="828">
        <f t="shared" si="7"/>
        <v>0</v>
      </c>
      <c r="AL19" s="828">
        <f t="shared" si="7"/>
        <v>0</v>
      </c>
      <c r="AM19" s="828">
        <f t="shared" si="7"/>
        <v>8099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1032</v>
      </c>
      <c r="BD19" s="820">
        <f t="shared" si="7"/>
        <v>1933</v>
      </c>
      <c r="BE19" s="820">
        <f t="shared" si="7"/>
        <v>0</v>
      </c>
      <c r="BF19" s="830">
        <f t="shared" si="7"/>
        <v>0</v>
      </c>
      <c r="BG19" s="915">
        <f>IF(ISNUMBER(Datos!K19/Datos!J19),Datos!K19/Datos!J19," - ")</f>
        <v>1.0052256532066508</v>
      </c>
      <c r="BH19" s="915">
        <f>IF(ISNUMBER(((Datos!L19/Datos!K19)*11)/factor_trimestre),((Datos!L19/Datos!K19)*11)/factor_trimestre," - ")</f>
        <v>4.805529300567108</v>
      </c>
      <c r="BI19" s="813">
        <f>IF(ISNUMBER(Datos!J19/Datos!I19),Datos!J19/Datos!I19," - ")</f>
        <v>0.62158570795806878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-0.67866004962779158</v>
      </c>
      <c r="BM19" s="889">
        <f>IF(ISNUMBER((Datos!P19-Datos!Q19+R19)/(Datos!R19-Datos!P19+Datos!Q19-R19)),(Datos!P19-Datos!Q19+R19)/(Datos!R19-Datos!P19+Datos!Q19-R19)," - ")</f>
        <v>2.3505623657272844E-2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855.66666666666663</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2.7284509239574835</v>
      </c>
      <c r="F21" s="551">
        <f>IF(ISNUMBER(STDEV(F8:F18)),STDEV(F8:F18),"-")</f>
        <v>1272.1085645494256</v>
      </c>
      <c r="G21" s="552">
        <f>IF(ISNUMBER(STDEV(G8:G18)),STDEV(G8:G18),"-")</f>
        <v>1218.0120962727203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758.29756692211527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300.22134691400134</v>
      </c>
      <c r="BD21" s="551"/>
      <c r="BE21" s="551">
        <f>IF(ISNUMBER(STDEV(BE8:BE18)),STDEV(BE8:BE18),"-")</f>
        <v>0</v>
      </c>
      <c r="BF21" s="556">
        <f>IF(ISNUMBER(STDEV(BF8:BF18)),STDEV(BF8:BF18),"-")</f>
        <v>0</v>
      </c>
      <c r="BG21" s="775">
        <f>IF(ISNUMBER(STDEV(BG8:BG18)),STDEV(BG8:BG18),"-")</f>
        <v>9.4949522722698743E-2</v>
      </c>
      <c r="BH21" s="776">
        <f>IF(ISNUMBER(STDEV(BH8:BH18)),STDEV(BH8:BH18),"-")</f>
        <v>1.23143780717236</v>
      </c>
      <c r="BI21" s="249">
        <f>IF(ISNUMBER(STDEV(BI8:BI18)),STDEV(BI8:BI18),"-")</f>
        <v>7.8827567353589256E-2</v>
      </c>
      <c r="BJ21" s="230" t="str">
        <f>IF(ISNUMBER(BL21/BM21),BL21/BM21," - ")</f>
        <v xml:space="preserve"> - </v>
      </c>
      <c r="BK21" s="575"/>
      <c r="BL21" s="559">
        <f>IF(ISNUMBER(STDEV(BL8:BL18)),STDEV(BL8:BL18),"-")</f>
        <v>0.14843898790507393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QWhRidQe4eFROaXjgitWKXs8AE/xJLmACkAxilcVtW580dusd26zmY8QJoWnJiSMDCLmq4CEVnUtvi2bng/XtQ==" saltValue="uA2rEbRww7K5IcCavSv6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OURENSE  Resumenes por Partidos Judiciales  OURENSE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552</v>
      </c>
      <c r="F5" s="1519" t="s">
        <v>406</v>
      </c>
      <c r="G5" s="1490" t="s">
        <v>128</v>
      </c>
      <c r="H5" s="1490" t="s">
        <v>582</v>
      </c>
      <c r="I5" s="1490" t="s">
        <v>553</v>
      </c>
      <c r="J5" s="1490" t="s">
        <v>675</v>
      </c>
      <c r="K5" s="1490" t="s">
        <v>554</v>
      </c>
      <c r="L5" s="1490" t="s">
        <v>580</v>
      </c>
      <c r="M5" s="1490" t="s">
        <v>676</v>
      </c>
      <c r="N5" s="1490" t="s">
        <v>579</v>
      </c>
      <c r="O5" s="1490" t="s">
        <v>606</v>
      </c>
      <c r="P5" s="1525" t="s">
        <v>668</v>
      </c>
      <c r="Q5" s="1525" t="s">
        <v>670</v>
      </c>
      <c r="R5" s="1490" t="s">
        <v>586</v>
      </c>
      <c r="S5" s="1490" t="s">
        <v>555</v>
      </c>
      <c r="T5" s="1490" t="s">
        <v>762</v>
      </c>
      <c r="U5" s="1490" t="s">
        <v>763</v>
      </c>
      <c r="V5" s="1493" t="s">
        <v>659</v>
      </c>
      <c r="W5" s="1508" t="s">
        <v>568</v>
      </c>
      <c r="X5" s="1511" t="s">
        <v>569</v>
      </c>
      <c r="Y5" s="1487" t="s">
        <v>587</v>
      </c>
      <c r="Z5" s="1487" t="s">
        <v>607</v>
      </c>
      <c r="AA5" s="1490" t="s">
        <v>559</v>
      </c>
      <c r="AB5" s="1490" t="s">
        <v>570</v>
      </c>
      <c r="AC5" s="1490" t="s">
        <v>571</v>
      </c>
      <c r="AD5" s="1490" t="s">
        <v>525</v>
      </c>
      <c r="AE5" s="1490" t="s">
        <v>677</v>
      </c>
      <c r="AF5" s="1490" t="s">
        <v>182</v>
      </c>
      <c r="AG5" s="1490" t="s">
        <v>572</v>
      </c>
      <c r="AH5" s="1490" t="s">
        <v>560</v>
      </c>
      <c r="AI5" s="1490" t="s">
        <v>561</v>
      </c>
      <c r="AJ5" s="1490" t="s">
        <v>573</v>
      </c>
      <c r="AK5" s="1490" t="s">
        <v>574</v>
      </c>
      <c r="AL5" s="1490" t="s">
        <v>575</v>
      </c>
      <c r="AM5" s="1505" t="s">
        <v>576</v>
      </c>
      <c r="AN5" s="1490" t="s">
        <v>249</v>
      </c>
      <c r="AO5" s="1490" t="s">
        <v>563</v>
      </c>
      <c r="AP5" s="1490" t="s">
        <v>564</v>
      </c>
      <c r="AQ5" s="1490" t="s">
        <v>588</v>
      </c>
      <c r="AR5" s="1490" t="s">
        <v>589</v>
      </c>
      <c r="AS5" s="1490" t="s">
        <v>591</v>
      </c>
      <c r="AT5" s="1490" t="s">
        <v>584</v>
      </c>
      <c r="AU5" s="1490" t="s">
        <v>830</v>
      </c>
      <c r="AV5" s="1490" t="s">
        <v>333</v>
      </c>
      <c r="AW5" s="1490" t="s">
        <v>577</v>
      </c>
      <c r="AX5" s="1490" t="s">
        <v>530</v>
      </c>
      <c r="BU5" s="1490" t="s">
        <v>764</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590</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472</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255</v>
      </c>
      <c r="AA9" s="332" t="str">
        <f>IF(ISNUMBER(IF(J_V="SI",Datos!L9,Datos!L9+Datos!AB9)-IF(Monitorios="SI",Datos!CD9,0)),
                          IF(J_V="SI",Datos!L9,Datos!L9+Datos!AB9)-IF(Monitorios="SI",Datos!CD9,0),
                          " - ")</f>
        <v xml:space="preserve"> - </v>
      </c>
      <c r="AB9" s="334"/>
      <c r="AC9" s="334"/>
      <c r="AD9" s="484"/>
      <c r="AE9" s="484">
        <f>IF(ISNUMBER(Datos!R9),Datos!R9," - ")</f>
        <v>7503</v>
      </c>
      <c r="AF9" s="229" t="str">
        <f>IF(ISNUMBER(Datos!BV9),Datos!BV9," - ")</f>
        <v xml:space="preserve"> - </v>
      </c>
      <c r="AG9" s="225" t="str">
        <f>IF(ISNUMBER(Datos!DV9),Datos!DV9," - ")</f>
        <v xml:space="preserve"> - </v>
      </c>
      <c r="AH9" s="298"/>
      <c r="AI9" s="227"/>
      <c r="AJ9" s="225">
        <f>IF(ISNUMBER(Datos!M9),Datos!M9," - ")</f>
        <v>670</v>
      </c>
      <c r="AK9" s="229">
        <f>IF(ISNUMBER(Datos!N9),Datos!N9," - ")</f>
        <v>846</v>
      </c>
      <c r="AL9" s="229" t="str">
        <f>IF(ISNUMBER(Datos!BW9),Datos!BW9," - ")</f>
        <v xml:space="preserve"> - </v>
      </c>
      <c r="AM9" s="228" t="str">
        <f>IF(ISNUMBER(Datos!BX9),Datos!BX9," - ")</f>
        <v xml:space="preserve"> - </v>
      </c>
      <c r="AN9" s="243"/>
      <c r="AO9" s="260">
        <f>IF(ISNUMBER(((NºAsuntos!I9/NºAsuntos!G9)*11)/factor_trimestre),((NºAsuntos!I9/NºAsuntos!G9)*11)/factor_trimestre," - ")</f>
        <v>4.5514250309789341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2.9783145758989844E-2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57</v>
      </c>
      <c r="G10" s="225">
        <f>IF(ISNUMBER(Datos!I10),Datos!I10," - ")</f>
        <v>57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27</v>
      </c>
      <c r="Z10" s="619">
        <f>IF(ISNUMBER(Datos!Q10),Datos!Q10," - ")</f>
        <v>5</v>
      </c>
      <c r="AA10" s="332">
        <f>IF(ISNUMBER(Datos!L10),Datos!L10,"-")</f>
        <v>62</v>
      </c>
      <c r="AB10" s="334"/>
      <c r="AC10" s="334"/>
      <c r="AD10" s="484"/>
      <c r="AE10" s="484">
        <f>IF(ISNUMBER(Datos!R10),Datos!R10," - ")</f>
        <v>70</v>
      </c>
      <c r="AF10" s="229" t="str">
        <f>IF(ISNUMBER(Datos!BV10),Datos!BV10," - ")</f>
        <v xml:space="preserve"> - </v>
      </c>
      <c r="AG10" s="225" t="str">
        <f>IF(ISNUMBER(Datos!DV10),Datos!DV10," - ")</f>
        <v xml:space="preserve"> - </v>
      </c>
      <c r="AH10" s="298"/>
      <c r="AI10" s="227"/>
      <c r="AJ10" s="225">
        <f>IF(ISNUMBER(Datos!M10),Datos!M10," - ")</f>
        <v>7</v>
      </c>
      <c r="AK10" s="229">
        <f>IF(ISNUMBER(Datos!N10),Datos!N10," - ")</f>
        <v>11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6.8888888888888893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-4.1095890410958902E-2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1</v>
      </c>
      <c r="B11" s="507" t="s">
        <v>246</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23</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50</v>
      </c>
      <c r="AA11" s="332" t="str">
        <f>IF(ISNUMBER(IF(J_V="SI",Datos!L11,Datos!L11+Datos!AB11)-IF(Monitorios="SI",Datos!CD11,0)),
                          IF(J_V="SI",Datos!L11,Datos!L11+Datos!AB11)-IF(Monitorios="SI",Datos!CD11,0),
                          " - ")</f>
        <v xml:space="preserve"> - </v>
      </c>
      <c r="AB11" s="334"/>
      <c r="AC11" s="334"/>
      <c r="AD11" s="484"/>
      <c r="AE11" s="484">
        <f>IF(ISNUMBER(Datos!R11),Datos!R11," - ")</f>
        <v>359</v>
      </c>
      <c r="AF11" s="229" t="str">
        <f>IF(ISNUMBER(Datos!BV11),Datos!BV11," - ")</f>
        <v xml:space="preserve"> - </v>
      </c>
      <c r="AG11" s="225" t="str">
        <f>IF(ISNUMBER(Datos!DV11),Datos!DV11," - ")</f>
        <v xml:space="preserve"> - </v>
      </c>
      <c r="AH11" s="298"/>
      <c r="AI11" s="227"/>
      <c r="AJ11" s="225">
        <f>IF(ISNUMBER(Datos!M11),Datos!M11," - ")</f>
        <v>73</v>
      </c>
      <c r="AK11" s="229">
        <f>IF(ISNUMBER(Datos!N11),Datos!N11," - ")</f>
        <v>384</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5.2370242214532867</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-6.9948186528497408E-2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57</v>
      </c>
      <c r="G13" s="898">
        <f>SUBTOTAL(9,G8:G12)</f>
        <v>57</v>
      </c>
      <c r="H13" s="908"/>
      <c r="I13" s="898">
        <f t="shared" ref="I13:N13" si="0">SUBTOTAL(9,I8:I12)</f>
        <v>0</v>
      </c>
      <c r="J13" s="867">
        <f t="shared" si="0"/>
        <v>0</v>
      </c>
      <c r="K13" s="908">
        <f t="shared" si="0"/>
        <v>0</v>
      </c>
      <c r="L13" s="908">
        <f t="shared" si="0"/>
        <v>0</v>
      </c>
      <c r="M13" s="908">
        <f t="shared" si="0"/>
        <v>0</v>
      </c>
      <c r="N13" s="908">
        <f t="shared" si="0"/>
        <v>497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27</v>
      </c>
      <c r="Z13" s="907">
        <f t="shared" si="2"/>
        <v>310</v>
      </c>
      <c r="AA13" s="900">
        <f t="shared" si="2"/>
        <v>62</v>
      </c>
      <c r="AB13" s="900">
        <f t="shared" si="2"/>
        <v>0</v>
      </c>
      <c r="AC13" s="900">
        <f t="shared" si="2"/>
        <v>0</v>
      </c>
      <c r="AD13" s="900">
        <f t="shared" si="2"/>
        <v>0</v>
      </c>
      <c r="AE13" s="900">
        <f t="shared" si="2"/>
        <v>7932</v>
      </c>
      <c r="AF13" s="908">
        <f t="shared" si="2"/>
        <v>0</v>
      </c>
      <c r="AG13" s="908">
        <f t="shared" si="2"/>
        <v>0</v>
      </c>
      <c r="AH13" s="908">
        <f t="shared" si="2"/>
        <v>0</v>
      </c>
      <c r="AI13" s="908">
        <f t="shared" si="2"/>
        <v>0</v>
      </c>
      <c r="AJ13" s="908">
        <f t="shared" si="2"/>
        <v>750</v>
      </c>
      <c r="AK13" s="908">
        <f t="shared" si="2"/>
        <v>1241</v>
      </c>
      <c r="AL13" s="908">
        <f t="shared" si="2"/>
        <v>0</v>
      </c>
      <c r="AM13" s="908">
        <f t="shared" si="2"/>
        <v>0</v>
      </c>
      <c r="AN13" s="908">
        <f t="shared" si="2"/>
        <v>0</v>
      </c>
      <c r="AO13" s="904">
        <f>IF(ISNUMBER(((NºAsuntos!I13/NºAsuntos!G13)*11)/factor_trimestre),((NºAsuntos!I13/NºAsuntos!G13)*11)/factor_trimestre," - ")</f>
        <v>4.7032385988103114</v>
      </c>
      <c r="AP13" s="910" t="str">
        <f>IF(ISNUMBER(Datos!CI13/Datos!CJ13),Datos!CI13/Datos!CJ13," - ")</f>
        <v xml:space="preserve"> - </v>
      </c>
      <c r="AQ13" s="928">
        <f t="shared" ref="AQ13:AV13" si="3">SUBTOTAL(9,AQ9:AQ12)</f>
        <v>0</v>
      </c>
      <c r="AR13" s="928">
        <f t="shared" si="3"/>
        <v>-8.126093118046647E-2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3</v>
      </c>
      <c r="B15" s="507" t="s">
        <v>396</v>
      </c>
      <c r="C15" s="160" t="str">
        <f>Datos!A15</f>
        <v xml:space="preserve">Jdos. Instrucción                               </v>
      </c>
      <c r="D15" s="502"/>
      <c r="E15" s="1168">
        <f>IF(ISNUMBER(Datos!AQ15),Datos!AQ15," - ")</f>
        <v>3</v>
      </c>
      <c r="F15" s="333">
        <f>IF(ISNUMBER(AA15+Y15-Datos!J15-K15),AA15+Y15-Datos!J15-K15," - ")</f>
        <v>2360</v>
      </c>
      <c r="G15" s="225">
        <f>IF(ISNUMBER(IF(D_I="SI",Datos!I15,Datos!I15+Datos!AC15)),IF(D_I="SI",Datos!I15,Datos!I15+Datos!AC15)," - ")</f>
        <v>2340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67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1424</v>
      </c>
      <c r="Z15" s="619">
        <f>IF(ISNUMBER(Datos!Q15),Datos!Q15," - ")</f>
        <v>68</v>
      </c>
      <c r="AA15" s="332">
        <f>IF(ISNUMBER(IF(D_I="SI",Datos!L15,Datos!L15+Datos!AF15)),IF(D_I="SI",Datos!L15,Datos!L15+Datos!AF15)," - ")</f>
        <v>2288</v>
      </c>
      <c r="AB15" s="334"/>
      <c r="AC15" s="334"/>
      <c r="AD15" s="484"/>
      <c r="AE15" s="484">
        <f>IF(ISNUMBER(Datos!R15),Datos!R15," - ")</f>
        <v>163</v>
      </c>
      <c r="AF15" s="229" t="str">
        <f>IF(ISNUMBER(Datos!BV15),Datos!BV15," - ")</f>
        <v xml:space="preserve"> - </v>
      </c>
      <c r="AG15" s="225"/>
      <c r="AH15" s="298"/>
      <c r="AI15" s="227"/>
      <c r="AJ15" s="225">
        <f>IF(ISNUMBER(Datos!M15),Datos!M15," - ")</f>
        <v>258</v>
      </c>
      <c r="AK15" s="229">
        <f>IF(ISNUMBER(Datos!N15),Datos!N15," - ")</f>
        <v>582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4.820224719101124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f>IF(ISNUMBER(AA16+Y16-Datos!J16-K15),AA16+Y16-Datos!J16-K15," - ")</f>
        <v>1</v>
      </c>
      <c r="G16" s="225">
        <f>IF(ISNUMBER(IF(D_I="SI",Datos!I16,Datos!I16+Datos!AC16)),IF(D_I="SI",Datos!I16,Datos!I16+Datos!AC16)," - ")</f>
        <v>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1</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190</v>
      </c>
      <c r="Z17" s="619">
        <f>IF(ISNUMBER(Datos!Q17),Datos!Q17," - ")</f>
        <v>2</v>
      </c>
      <c r="AA17" s="332">
        <f>IF(ISNUMBER(Datos!L17),Datos!L17,"-")</f>
        <v>171</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24</v>
      </c>
      <c r="AK17" s="229">
        <f>IF(ISNUMBER(Datos!N17),Datos!N17," - ")</f>
        <v>110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2361</v>
      </c>
      <c r="G18" s="898">
        <f>SUBTOTAL(9,G15:G17)</f>
        <v>2510</v>
      </c>
      <c r="H18" s="932">
        <f>SUBTOTAL(9,H15:H17)</f>
        <v>0</v>
      </c>
      <c r="I18" s="911">
        <f>SUBTOTAL(9,I15:I17)</f>
        <v>0</v>
      </c>
      <c r="J18" s="867">
        <f>SUBTOTAL(9,J14:J17)</f>
        <v>0</v>
      </c>
      <c r="K18" s="932">
        <f t="shared" ref="K18:S18" si="4">SUBTOTAL(9,K15:K17)</f>
        <v>0</v>
      </c>
      <c r="L18" s="932">
        <f t="shared" si="4"/>
        <v>0</v>
      </c>
      <c r="M18" s="932">
        <f t="shared" si="4"/>
        <v>0</v>
      </c>
      <c r="N18" s="932">
        <f t="shared" si="4"/>
        <v>69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1614</v>
      </c>
      <c r="Z18" s="932">
        <f t="shared" si="5"/>
        <v>70</v>
      </c>
      <c r="AA18" s="932">
        <f t="shared" si="5"/>
        <v>2460</v>
      </c>
      <c r="AB18" s="932">
        <f t="shared" si="5"/>
        <v>0</v>
      </c>
      <c r="AC18" s="932">
        <f t="shared" si="5"/>
        <v>0</v>
      </c>
      <c r="AD18" s="932">
        <f t="shared" si="5"/>
        <v>0</v>
      </c>
      <c r="AE18" s="932">
        <f t="shared" si="5"/>
        <v>167</v>
      </c>
      <c r="AF18" s="932">
        <f t="shared" si="5"/>
        <v>0</v>
      </c>
      <c r="AG18" s="932">
        <f t="shared" si="5"/>
        <v>0</v>
      </c>
      <c r="AH18" s="932">
        <f t="shared" si="5"/>
        <v>0</v>
      </c>
      <c r="AI18" s="932">
        <f t="shared" si="5"/>
        <v>0</v>
      </c>
      <c r="AJ18" s="932">
        <f t="shared" si="5"/>
        <v>282</v>
      </c>
      <c r="AK18" s="932">
        <f t="shared" si="5"/>
        <v>692</v>
      </c>
      <c r="AL18" s="932">
        <f t="shared" si="5"/>
        <v>0</v>
      </c>
      <c r="AM18" s="932">
        <f t="shared" si="5"/>
        <v>0</v>
      </c>
      <c r="AN18" s="932">
        <f t="shared" si="5"/>
        <v>0</v>
      </c>
      <c r="AO18" s="934">
        <f>IF(ISNUMBER(((NºAsuntos!I18/NºAsuntos!G18)*11)/factor_trimestre),((NºAsuntos!I18/NºAsuntos!G18)*11)/factor_trimestre," - ")</f>
        <v>4.5724907063197033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2418</v>
      </c>
      <c r="G19" s="820">
        <f t="shared" si="7"/>
        <v>2567</v>
      </c>
      <c r="H19" s="821">
        <f t="shared" si="7"/>
        <v>0</v>
      </c>
      <c r="I19" s="820">
        <f t="shared" si="7"/>
        <v>0</v>
      </c>
      <c r="J19" s="822">
        <f t="shared" si="7"/>
        <v>0</v>
      </c>
      <c r="K19" s="820">
        <f t="shared" si="7"/>
        <v>0</v>
      </c>
      <c r="L19" s="823">
        <f t="shared" si="7"/>
        <v>0</v>
      </c>
      <c r="M19" s="820">
        <f t="shared" si="7"/>
        <v>0</v>
      </c>
      <c r="N19" s="821">
        <f t="shared" si="7"/>
        <v>566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1641</v>
      </c>
      <c r="Z19" s="827">
        <f t="shared" si="8"/>
        <v>380</v>
      </c>
      <c r="AA19" s="828">
        <f t="shared" si="8"/>
        <v>2522</v>
      </c>
      <c r="AB19" s="828">
        <f t="shared" si="8"/>
        <v>0</v>
      </c>
      <c r="AC19" s="828">
        <f t="shared" si="8"/>
        <v>0</v>
      </c>
      <c r="AD19" s="829">
        <f t="shared" si="8"/>
        <v>0</v>
      </c>
      <c r="AE19" s="829">
        <f t="shared" si="8"/>
        <v>8099</v>
      </c>
      <c r="AF19" s="830">
        <f t="shared" si="8"/>
        <v>0</v>
      </c>
      <c r="AG19" s="831">
        <f t="shared" si="8"/>
        <v>0</v>
      </c>
      <c r="AH19" s="832">
        <f t="shared" si="8"/>
        <v>0</v>
      </c>
      <c r="AI19" s="830">
        <f t="shared" si="8"/>
        <v>0</v>
      </c>
      <c r="AJ19" s="820">
        <f t="shared" si="8"/>
        <v>1032</v>
      </c>
      <c r="AK19" s="820">
        <f t="shared" si="8"/>
        <v>1933</v>
      </c>
      <c r="AL19" s="820">
        <f t="shared" si="8"/>
        <v>0</v>
      </c>
      <c r="AM19" s="833">
        <f t="shared" si="8"/>
        <v>0</v>
      </c>
      <c r="AN19" s="823">
        <f>IF(ISNUMBER(Datos!K19/Datos!J19),Datos!K19/Datos!J19," - ")</f>
        <v>1.0052256532066508</v>
      </c>
      <c r="AO19" s="823">
        <f>IF(ISNUMBER(FIND("06",Criterios!A8,1)),(IF(ISNUMBER(((Datos!R19/Datos!Q19)*11)/factor_trimestre),((Datos!R19/Datos!Q19)*11)/factor_trimestre," - ")),(IF(ISNUMBER(((Datos!L19/Datos!K19)*11)/factor_trimestre),((Datos!L19/Datos!K19)*11)/factor_trimestre," - ")))</f>
        <v>4.805529300567108</v>
      </c>
      <c r="AP19" s="834" t="str">
        <f>IF(ISNUMBER(Datos!CI19/Datos!CJ19),Datos!CI19/Datos!CJ19," - ")</f>
        <v xml:space="preserve"> - </v>
      </c>
      <c r="AQ19" s="834">
        <f>IF(OR(ISNUMBER(FIND("01",Criterios!A8,1)),ISNUMBER(FIND("02",Criterios!A8,1)),ISNUMBER(FIND("03",Criterios!A8,1)),ISNUMBER(FIND("04",Criterios!A8,1))),(J19-Y19+K19)/(F19-K19),(I19-Y19+K19)/(F19-K19))</f>
        <v>-0.67866004962779158</v>
      </c>
      <c r="AR19" s="834">
        <f>IF(ISNUMBER((Datos!P19-Datos!Q19+O19)/(Datos!R19-Datos!P19+Datos!Q19-O19)),(Datos!P19-Datos!Q19+O19)/(Datos!R19-Datos!P19+Datos!Q19-O19)," - ")</f>
        <v>2.3505623657272844E-2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855.66666666666663</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1272.1085645494256</v>
      </c>
      <c r="G21" s="552">
        <f>IF(ISNUMBER(STDEV(G8:G18)),STDEV(G8:G18),"-")</f>
        <v>1218.0120962727203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300.22134691400134</v>
      </c>
      <c r="AK21" s="252"/>
      <c r="AL21" s="252">
        <f>IF(ISNUMBER(STDEV(AL8:AL18)),STDEV(AL8:AL18),"-")</f>
        <v>0</v>
      </c>
      <c r="AM21" s="254">
        <f>IF(ISNUMBER(STDEV(AM8:AM18)),STDEV(AM8:AM18),"-")</f>
        <v>0</v>
      </c>
      <c r="AN21" s="539">
        <f>IF(ISNUMBER(STDEV(AN8:AN18)),STDEV(AN8:AN18),"-")</f>
        <v>0</v>
      </c>
      <c r="AO21" s="540">
        <f>IF(ISNUMBER(STDEV(AO8:AO18)),STDEV(AO8:AO18),"-")</f>
        <v>1.2305469792333692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lJfd0jLnivYCTSI7mbZS8Rw7LCS/QUNjRSTpL1XEeJMltk01+pU817zLxkPM+vGllUthodEVUG9t6KCT/AiYhg==" saltValue="NhLI9XByUreYWsPJBAtEi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621</v>
      </c>
      <c r="B4" s="1538" t="s">
        <v>725</v>
      </c>
      <c r="C4" s="1538" t="s">
        <v>622</v>
      </c>
      <c r="D4" s="1538" t="s">
        <v>683</v>
      </c>
      <c r="E4" s="1540" t="s">
        <v>684</v>
      </c>
      <c r="F4" s="1538" t="s">
        <v>623</v>
      </c>
      <c r="G4" s="1540" t="s">
        <v>452</v>
      </c>
      <c r="H4" s="1533" t="s">
        <v>624</v>
      </c>
      <c r="I4" s="1533" t="s">
        <v>625</v>
      </c>
      <c r="J4" s="1533" t="s">
        <v>626</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BHfBGG4ynZgyf5T/z1vXLpDX3rb8ybSnmTYaJEff573Ro9LHMTo8hXFzzaQjdHGoHo5lg8hP/g0efkPxwFMuJA==" saltValue="AfHgNzXAwOgDWKWBvtpP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746</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L9ehfVLaDsBFnAtDUN+uQPOqaiGfWZRFsvkTNAOtzKWMGIaOwqsXsQ4SW/OggVNYqGlw9PffjbfkxnSxbTJzg==" saltValue="W9h/dRCG/V/qoy0/RYWfv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OURENSE  Resumenes por Partidos Judiciales  OURENSE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554</v>
      </c>
      <c r="L5" s="1490" t="s">
        <v>522</v>
      </c>
      <c r="M5" s="1522" t="s">
        <v>580</v>
      </c>
      <c r="N5" s="1490" t="s">
        <v>711</v>
      </c>
      <c r="O5" s="1490" t="s">
        <v>671</v>
      </c>
      <c r="P5" s="1490" t="s">
        <v>168</v>
      </c>
      <c r="Q5" s="1525" t="s">
        <v>668</v>
      </c>
      <c r="R5" s="1525" t="s">
        <v>712</v>
      </c>
      <c r="S5" s="1490" t="s">
        <v>583</v>
      </c>
      <c r="T5" s="1525" t="s">
        <v>555</v>
      </c>
      <c r="U5" s="1525" t="s">
        <v>762</v>
      </c>
      <c r="V5" s="1525" t="s">
        <v>763</v>
      </c>
      <c r="W5" s="1508" t="s">
        <v>605</v>
      </c>
      <c r="X5" s="1511" t="s">
        <v>556</v>
      </c>
      <c r="Y5" s="1508" t="s">
        <v>557</v>
      </c>
      <c r="Z5" s="1508" t="s">
        <v>558</v>
      </c>
      <c r="AA5" s="1490" t="s">
        <v>672</v>
      </c>
      <c r="AB5" s="1490" t="s">
        <v>677</v>
      </c>
      <c r="AC5" s="1490" t="s">
        <v>182</v>
      </c>
      <c r="AD5" s="1496" t="s">
        <v>180</v>
      </c>
      <c r="AE5" s="1490" t="s">
        <v>673</v>
      </c>
      <c r="AF5" s="1499" t="s">
        <v>674</v>
      </c>
      <c r="AG5" s="1502" t="s">
        <v>531</v>
      </c>
      <c r="AH5" s="1490" t="s">
        <v>532</v>
      </c>
      <c r="AI5" s="1490" t="s">
        <v>603</v>
      </c>
      <c r="AJ5" s="1505" t="s">
        <v>604</v>
      </c>
      <c r="AK5" s="1502" t="s">
        <v>183</v>
      </c>
      <c r="AL5" s="1490" t="s">
        <v>562</v>
      </c>
      <c r="AM5" s="1490" t="s">
        <v>247</v>
      </c>
      <c r="AN5" s="1490" t="s">
        <v>248</v>
      </c>
      <c r="AO5" s="1490" t="s">
        <v>249</v>
      </c>
      <c r="AP5" s="1490" t="s">
        <v>563</v>
      </c>
      <c r="AQ5" s="1490" t="s">
        <v>250</v>
      </c>
      <c r="AR5" s="1490" t="s">
        <v>564</v>
      </c>
      <c r="AS5" s="1490" t="s">
        <v>565</v>
      </c>
      <c r="AT5" s="1490" t="s">
        <v>566</v>
      </c>
      <c r="AU5" s="1490" t="s">
        <v>591</v>
      </c>
      <c r="AV5" s="1490" t="s">
        <v>584</v>
      </c>
      <c r="AW5" s="1490" t="s">
        <v>830</v>
      </c>
      <c r="AX5" s="1490" t="s">
        <v>833</v>
      </c>
      <c r="AY5" s="1490" t="s">
        <v>835</v>
      </c>
      <c r="AZ5" s="1490" t="s">
        <v>585</v>
      </c>
      <c r="BA5" s="1490" t="s">
        <v>851</v>
      </c>
      <c r="BB5" s="1490" t="s">
        <v>567</v>
      </c>
      <c r="BC5" s="1490" t="s">
        <v>530</v>
      </c>
      <c r="BW5" s="1490" t="s">
        <v>764</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0.2478519497686715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0.17525779441173517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uhlKD8ysc7KrUJUHSSwONkPWRY2xw+ZlL6iqKkiXjUlbqrz3W4GNwG+e/iO4OPmgHu+hTxhHaMJX6SEfqkGFXA==" saltValue="FDvx7COFslWiLL1krOZi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03xPY84HwiZ9PrOMebJu9neKmap1LiFWzVdaSzWaYtOX7IUbnnD+ZKEMG/oomYm1QEArEHRsqOOzqD0mFyKFjg==" saltValue="dgBz2FQRVBrvB75A+8Db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OURENSE</v>
      </c>
      <c r="D3" s="375"/>
      <c r="E3" s="375"/>
      <c r="F3" s="375"/>
    </row>
    <row r="4" spans="1:14" ht="13.5" thickBot="1">
      <c r="A4" s="375"/>
      <c r="B4" s="391" t="str">
        <f>Criterios!A11 &amp;"  "&amp;Criterios!B11</f>
        <v>Resumenes por Partidos Judiciales  OURENSE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740</v>
      </c>
      <c r="L5" s="1189" t="s">
        <v>786</v>
      </c>
      <c r="M5" s="1189" t="s">
        <v>847</v>
      </c>
      <c r="N5" s="1192" t="s">
        <v>739</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734</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6</v>
      </c>
      <c r="C9" s="403">
        <f>IF(ISNUMBER(IF(J_V="SI",Datos!I9,Datos!I9+Datos!Y9)),IF(J_V="SI",Datos!I9,Datos!I9+Datos!Y9)," - ")</f>
        <v>3583</v>
      </c>
      <c r="D9" s="404">
        <f>IF(ISNUMBER(C9/Datos!BH9),C9/Datos!BH9," - ")</f>
        <v>597.16666666666663</v>
      </c>
      <c r="E9" s="403">
        <f>IF(ISNUMBER(IF(J_V="SI",Datos!J9,Datos!J9+Datos!Z9)),IF(J_V="SI",Datos!J9,Datos!J9+Datos!Z9)," - ")</f>
        <v>2511</v>
      </c>
      <c r="F9" s="404">
        <f>IF(ISNUMBER(E9/B9),E9/B9," - ")</f>
        <v>418.5</v>
      </c>
      <c r="G9" s="403">
        <f>IF(ISNUMBER(IF(J_V="SI",Datos!K9,Datos!K9+Datos!AA9)),IF(J_V="SI",Datos!K9,Datos!K9+Datos!AA9)," - ")</f>
        <v>2421</v>
      </c>
      <c r="H9" s="404">
        <f>IF(ISNUMBER(G9/B9),G9/B9," - ")</f>
        <v>403.5</v>
      </c>
      <c r="I9" s="403">
        <f>IF(ISNUMBER(IF(J_V="SI",Datos!L9,Datos!L9+Datos!AB9)),IF(J_V="SI",Datos!L9,Datos!L9+Datos!AB9)," - ")</f>
        <v>3673</v>
      </c>
      <c r="J9" s="404">
        <f>IF(ISNUMBER(I9/B9),I9/B9," - ")</f>
        <v>612.16666666666663</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57</v>
      </c>
      <c r="D10" s="404">
        <f>IF(ISNUMBER(C10/Datos!BH10),C10/Datos!BH10," - ")</f>
        <v>57</v>
      </c>
      <c r="E10" s="403">
        <f>IF(ISNUMBER(Datos!J10),Datos!J10," - ")</f>
        <v>32</v>
      </c>
      <c r="F10" s="404">
        <f>IF(ISNUMBER(E10/B10),E10/B10," - ")</f>
        <v>32</v>
      </c>
      <c r="G10" s="403">
        <f>IF(ISNUMBER(Datos!K10),Datos!K10," - ")</f>
        <v>27</v>
      </c>
      <c r="H10" s="404">
        <f>IF(ISNUMBER(G10/B10),G10/B10," - ")</f>
        <v>27</v>
      </c>
      <c r="I10" s="403">
        <f>IF(ISNUMBER(Datos!L10),Datos!L10," - ")</f>
        <v>62</v>
      </c>
      <c r="J10" s="404">
        <f>IF(ISNUMBER(I10/B10),I10/B10," - ")</f>
        <v>62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1</v>
      </c>
      <c r="C11" s="403">
        <f>IF(ISNUMBER(IF(J_V="SI",Datos!I11,Datos!I11+Datos!Y11)),IF(J_V="SI",Datos!I11,Datos!I11+Datos!Y11)," - ")</f>
        <v>1084</v>
      </c>
      <c r="D11" s="404">
        <f>IF(ISNUMBER(C11/Datos!BH11),C11/Datos!BH11," - ")</f>
        <v>1084</v>
      </c>
      <c r="E11" s="403">
        <f>IF(ISNUMBER(IF(J_V="SI",Datos!J11,Datos!J11+Datos!Z11)),IF(J_V="SI",Datos!J11,Datos!J11+Datos!Z11)," - ")</f>
        <v>503</v>
      </c>
      <c r="F11" s="404">
        <f>IF(ISNUMBER(E11/B11),E11/B11," - ")</f>
        <v>503</v>
      </c>
      <c r="G11" s="403">
        <f>IF(ISNUMBER(IF(J_V="SI",Datos!K11,Datos!K11+Datos!AA11)),IF(J_V="SI",Datos!K11,Datos!K11+Datos!AA11)," - ")</f>
        <v>578</v>
      </c>
      <c r="H11" s="404">
        <f>IF(ISNUMBER(G11/B11),G11/B11," - ")</f>
        <v>578</v>
      </c>
      <c r="I11" s="403">
        <f>IF(ISNUMBER(IF(J_V="SI",Datos!L11,Datos!L11+Datos!AB11)),IF(J_V="SI",Datos!L11,Datos!L11+Datos!AB11)," - ")</f>
        <v>1009</v>
      </c>
      <c r="J11" s="404">
        <f>IF(ISNUMBER(I11/B11),I11/B11," - ")</f>
        <v>1009</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4724</v>
      </c>
      <c r="D13" s="850" t="str">
        <f>IF(ISNUMBER(C13/Datos!BI13),C13/Datos!BI13," - ")</f>
        <v xml:space="preserve"> - </v>
      </c>
      <c r="E13" s="849">
        <f>SUBTOTAL(9,E8:E12)</f>
        <v>3046</v>
      </c>
      <c r="F13" s="850">
        <f>IF(ISNUMBER(E13/B13),E13/B13," - ")</f>
        <v>435.14285714285717</v>
      </c>
      <c r="G13" s="849">
        <f>SUBTOTAL(9,G8:G12)</f>
        <v>3026</v>
      </c>
      <c r="H13" s="850">
        <f>IF(ISNUMBER(G13/B13),G13/B13," - ")</f>
        <v>432.28571428571428</v>
      </c>
      <c r="I13" s="849">
        <f>SUBTOTAL(9,I8:I12)</f>
        <v>4744</v>
      </c>
      <c r="J13" s="850">
        <f>IF(ISNUMBER(I13/B13),I13/B13," - ")</f>
        <v>677.71428571428567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3</v>
      </c>
      <c r="C15" s="403">
        <f>IF(ISNUMBER(IF(D_I="SI",Datos!I15,Datos!I15+Datos!AC15)),IF(D_I="SI",Datos!I15,Datos!I15+Datos!AC15)," - ")</f>
        <v>2340</v>
      </c>
      <c r="D15" s="404">
        <f>IF(ISNUMBER(C15/Datos!BH15),C15/Datos!BH15," - ")</f>
        <v>780</v>
      </c>
      <c r="E15" s="403">
        <f>IF(ISNUMBER(IF(D_I="SI",Datos!J15,Datos!J15+Datos!AD15)),IF(D_I="SI",Datos!J15,Datos!J15+Datos!AD15)," - ")</f>
        <v>1352</v>
      </c>
      <c r="F15" s="404">
        <f>IF(ISNUMBER(E15/B15),E15/B15," - ")</f>
        <v>450.66666666666669</v>
      </c>
      <c r="G15" s="403">
        <f>IF(ISNUMBER(IF(D_I="SI",Datos!K15,Datos!K15+Datos!AE15)),IF(D_I="SI",Datos!K15,Datos!K15+Datos!AE15)," - ")</f>
        <v>1424</v>
      </c>
      <c r="H15" s="404">
        <f>IF(ISNUMBER(G15/B15),G15/B15," - ")</f>
        <v>474.66666666666669</v>
      </c>
      <c r="I15" s="403">
        <f>IF(ISNUMBER(IF(D_I="SI",Datos!L15,Datos!L15+Datos!AF15)),IF(D_I="SI",Datos!L15,Datos!L15+Datos!AF15)," - ")</f>
        <v>2288</v>
      </c>
      <c r="J15" s="404">
        <f>IF(ISNUMBER(I15/B15),I15/B15," - ")</f>
        <v>762.66666666666663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f>IF(ISNUMBER(IF(D_I="SI",Datos!I16,Datos!I16+Datos!AC16)),IF(D_I="SI",Datos!I16,Datos!I16+Datos!AC16)," - ")</f>
        <v>1</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1</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169</v>
      </c>
      <c r="D17" s="404">
        <f>IF(ISNUMBER(C17/Datos!BH17),C17/Datos!BH17," - ")</f>
        <v>169</v>
      </c>
      <c r="E17" s="403">
        <f>IF(ISNUMBER(IF(D_I="SI",Datos!J17,Datos!J17+Datos!AD17)),IF(D_I="SI",Datos!J17,Datos!J17+Datos!AD17)," - ")</f>
        <v>184</v>
      </c>
      <c r="F17" s="404">
        <f>IF(ISNUMBER(E17/B17),E17/B17," - ")</f>
        <v>184</v>
      </c>
      <c r="G17" s="403">
        <f>IF(ISNUMBER(IF(D_I="SI",Datos!K17,Datos!K17+Datos!AE17)),IF(D_I="SI",Datos!K17,Datos!K17+Datos!AE17)," - ")</f>
        <v>190</v>
      </c>
      <c r="H17" s="404">
        <f>IF(ISNUMBER(G17/B17),G17/B17," - ")</f>
        <v>190</v>
      </c>
      <c r="I17" s="403">
        <f>IF(ISNUMBER(IF(D_I="SI",Datos!L17,Datos!L17+Datos!AF17)),IF(D_I="SI",Datos!L17,Datos!L17+Datos!AF17)," - ")</f>
        <v>171</v>
      </c>
      <c r="J17" s="404">
        <f>IF(ISNUMBER(I17/B17),I17/B17," - ")</f>
        <v>171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2510</v>
      </c>
      <c r="D18" s="850" t="str">
        <f>IF(ISNUMBER(C18/Datos!BI18),C18/Datos!BI18," - ")</f>
        <v xml:space="preserve"> - </v>
      </c>
      <c r="E18" s="849">
        <f>SUBTOTAL(9,E14:E17)</f>
        <v>1536</v>
      </c>
      <c r="F18" s="850">
        <f>IF(ISNUMBER(E18/B18),E18/B18," - ")</f>
        <v>512</v>
      </c>
      <c r="G18" s="849">
        <f>SUBTOTAL(9,G14:G17)</f>
        <v>1614</v>
      </c>
      <c r="H18" s="850">
        <f>IF(ISNUMBER(G18/B18),G18/B18," - ")</f>
        <v>538</v>
      </c>
      <c r="I18" s="849">
        <f>SUBTOTAL(9,I14:I17)</f>
        <v>2460</v>
      </c>
      <c r="J18" s="850">
        <f>IF(ISNUMBER(I18/B18),I18/B18," - ")</f>
        <v>820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10</v>
      </c>
      <c r="C19" s="794">
        <f>SUBTOTAL(9,C9:C18)</f>
        <v>7234</v>
      </c>
      <c r="D19" s="795" t="str">
        <f>IF(ISNUMBER(C19/Datos!BI19),C19/Datos!BI19," - ")</f>
        <v xml:space="preserve"> - </v>
      </c>
      <c r="E19" s="794">
        <f>SUBTOTAL(9,E9:E18)</f>
        <v>4582</v>
      </c>
      <c r="F19" s="795">
        <f>IF(ISNUMBER(E19/B19),E19/B19," - ")</f>
        <v>458.2</v>
      </c>
      <c r="G19" s="794">
        <f>SUBTOTAL(9,G9:G18)</f>
        <v>4640</v>
      </c>
      <c r="H19" s="795">
        <f>IF(ISNUMBER(G19/B19),G19/B19," - ")</f>
        <v>464</v>
      </c>
      <c r="I19" s="794">
        <f>SUBTOTAL(9,I9:I18)</f>
        <v>7204</v>
      </c>
      <c r="J19" s="795">
        <f>IF(ISNUMBER(I19/B19),I19/B19," - ")</f>
        <v>720.4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OK0PxE9moWY+CYg+jq5EmSc6wFhDIWskWHaUdSZ9p/i/AKKN3y3wv/Trd63Rj7tFoUwGLz6wi9GruLuo077org==" saltValue="EhGCpjRjOy3SqmeYCzx6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OURENSE  Resumenes por Partidos Judiciales  OURENSE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552</v>
      </c>
      <c r="F5" s="1519" t="s">
        <v>406</v>
      </c>
      <c r="G5" s="1490" t="s">
        <v>128</v>
      </c>
      <c r="H5" s="1490" t="s">
        <v>685</v>
      </c>
      <c r="I5" s="1490" t="s">
        <v>686</v>
      </c>
      <c r="J5" s="1490" t="s">
        <v>689</v>
      </c>
      <c r="K5" s="1490" t="s">
        <v>690</v>
      </c>
      <c r="L5" s="1490" t="s">
        <v>580</v>
      </c>
      <c r="M5" s="1490" t="s">
        <v>711</v>
      </c>
      <c r="N5" s="1490" t="s">
        <v>691</v>
      </c>
      <c r="O5" s="1490" t="s">
        <v>687</v>
      </c>
      <c r="P5" s="1490" t="s">
        <v>168</v>
      </c>
      <c r="Q5" s="1490" t="s">
        <v>668</v>
      </c>
      <c r="R5" s="1490" t="s">
        <v>712</v>
      </c>
      <c r="S5" s="1490" t="str">
        <f>"Ingreso Computable 2003" &amp; IF(OR(EXACT(LEFT(boletin,2),"04"),EXACT(LEFT(boletin,2),"14"),EXACT(LEFT(boletin,2),"17"))," (Civil + Penal)","")</f>
        <v>Ingreso Computable 2003</v>
      </c>
      <c r="T5" s="1490" t="s">
        <v>688</v>
      </c>
      <c r="U5" s="1525" t="str">
        <f>"% Ingreso Computable 2003" &amp; IF(OR(EXACT(LEFT(boletin,2),"04"),EXACT(LEFT(boletin,2),"14"),EXACT(LEFT(boletin,2),"17"))," (Civil + Penal)","")</f>
        <v>% Ingreso Computable 2003</v>
      </c>
      <c r="V5" s="1525" t="s">
        <v>692</v>
      </c>
      <c r="W5" s="1490" t="s">
        <v>756</v>
      </c>
      <c r="X5" s="1490" t="s">
        <v>757</v>
      </c>
      <c r="Y5" s="1493"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0" t="s">
        <v>697</v>
      </c>
      <c r="AG5" s="1490" t="s">
        <v>698</v>
      </c>
      <c r="AH5" s="1490" t="s">
        <v>699</v>
      </c>
      <c r="AI5" s="1490" t="s">
        <v>700</v>
      </c>
      <c r="AJ5" s="1490" t="s">
        <v>182</v>
      </c>
      <c r="AK5" s="1502" t="s">
        <v>531</v>
      </c>
      <c r="AL5" s="1502" t="s">
        <v>183</v>
      </c>
      <c r="AM5" s="1490" t="s">
        <v>562</v>
      </c>
      <c r="AN5" s="1490" t="s">
        <v>247</v>
      </c>
      <c r="AO5" s="1490" t="s">
        <v>248</v>
      </c>
      <c r="AP5" s="1490" t="s">
        <v>701</v>
      </c>
      <c r="AQ5" s="1490" t="s">
        <v>702</v>
      </c>
      <c r="AR5" s="1490" t="s">
        <v>703</v>
      </c>
      <c r="AS5" s="1490" t="s">
        <v>704</v>
      </c>
      <c r="AT5" s="1490" t="s">
        <v>705</v>
      </c>
      <c r="AU5" s="1490" t="s">
        <v>706</v>
      </c>
      <c r="AV5" s="1490" t="s">
        <v>707</v>
      </c>
      <c r="AW5" s="1490" t="s">
        <v>708</v>
      </c>
      <c r="AX5" s="1490" t="s">
        <v>830</v>
      </c>
      <c r="AY5" s="1490" t="s">
        <v>833</v>
      </c>
      <c r="AZ5" s="1490" t="s">
        <v>709</v>
      </c>
      <c r="BA5" s="1490" t="s">
        <v>710</v>
      </c>
      <c r="BB5" s="1490" t="s">
        <v>530</v>
      </c>
      <c r="BC5" s="1352" t="s">
        <v>717</v>
      </c>
      <c r="BD5" s="1352" t="s">
        <v>718</v>
      </c>
      <c r="BE5" s="1519" t="s">
        <v>719</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57</v>
      </c>
      <c r="G10" s="684">
        <f>IF(ISNUMBER(Datos!I10),Datos!I10," - ")</f>
        <v>57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27</v>
      </c>
      <c r="AC10" s="683" t="str">
        <f>IF(ISNUMBER(IF(D_I="SI",DatosP!K17,DatosP!K17+DatosP!AE17)),IF(D_I="SI",DatosP!K17,DatosP!K17+DatosP!AE17)," - ")</f>
        <v xml:space="preserve"> - </v>
      </c>
      <c r="AD10" s="685"/>
      <c r="AE10" s="685"/>
      <c r="AF10" s="688">
        <f>IF(ISNUMBER(Datos!L10),Datos!L10,"-")</f>
        <v>62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11</v>
      </c>
      <c r="AN10" s="690">
        <f>IF(ISNUMBER(Datos!BW10+DatosP!BW17),Datos!BW10+DatosP!BW17," - ")</f>
        <v>0</v>
      </c>
      <c r="AO10" s="691">
        <f>IF(ISNUMBER(Datos!BX10+DatosP!BX17),Datos!BX10+DatosP!BX17," - ")</f>
        <v>0</v>
      </c>
      <c r="AP10" s="693">
        <f>IF(ISNUMBER(((Datos!L10/Datos!K10)*11)/factor_trimestre),((Datos!L10/Datos!K10)*11)/factor_trimestre," - ")</f>
        <v>6.8888888888888893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1</v>
      </c>
      <c r="B11" s="507" t="s">
        <v>246</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57</v>
      </c>
      <c r="G13" s="938">
        <f t="shared" si="0"/>
        <v>57</v>
      </c>
      <c r="H13" s="938">
        <f t="shared" si="0"/>
        <v>0</v>
      </c>
      <c r="I13" s="940">
        <f t="shared" si="0"/>
        <v>0</v>
      </c>
      <c r="J13" s="939">
        <f t="shared" si="0"/>
        <v>0</v>
      </c>
      <c r="K13" s="939">
        <f t="shared" si="0"/>
        <v>0</v>
      </c>
      <c r="L13" s="941">
        <f t="shared" si="0"/>
        <v>0</v>
      </c>
      <c r="M13" s="941">
        <f t="shared" si="0"/>
        <v>0</v>
      </c>
      <c r="N13" s="939">
        <f t="shared" si="0"/>
        <v>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27</v>
      </c>
      <c r="AC13" s="939">
        <f t="shared" si="1"/>
        <v>0</v>
      </c>
      <c r="AD13" s="939">
        <f t="shared" si="1"/>
        <v>0</v>
      </c>
      <c r="AE13" s="939">
        <f t="shared" si="1"/>
        <v>0</v>
      </c>
      <c r="AF13" s="939">
        <f t="shared" si="1"/>
        <v>62</v>
      </c>
      <c r="AG13" s="939">
        <f t="shared" si="1"/>
        <v>0</v>
      </c>
      <c r="AH13" s="939">
        <f t="shared" si="1"/>
        <v>0</v>
      </c>
      <c r="AI13" s="939">
        <f t="shared" si="1"/>
        <v>0</v>
      </c>
      <c r="AJ13" s="939">
        <f t="shared" si="1"/>
        <v>0</v>
      </c>
      <c r="AK13" s="939">
        <f t="shared" si="1"/>
        <v>0</v>
      </c>
      <c r="AL13" s="939">
        <f t="shared" si="1"/>
        <v>7</v>
      </c>
      <c r="AM13" s="939">
        <f t="shared" si="1"/>
        <v>11</v>
      </c>
      <c r="AN13" s="939">
        <f t="shared" si="1"/>
        <v>0</v>
      </c>
      <c r="AO13" s="939">
        <f t="shared" si="1"/>
        <v>0</v>
      </c>
      <c r="AP13" s="944">
        <f>IF(ISNUMBER(((Datos!L13/Datos!K13)*11)/factor_trimestre),((Datos!L13/Datos!K13)*11)/factor_trimestre," - ")</f>
        <v>4.949197860962566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-0.47368421052631576</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4.5724907063197033</v>
      </c>
      <c r="AQ18" s="944">
        <f>IF(ISNUMBER(((Datos!M18/Datos!L18)*11)/factor_trimestre),((Datos!M18/Datos!L18)*11)/factor_trimestre," - ")</f>
        <v>0.34390243902439027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-5.9523809523809521E-3</v>
      </c>
      <c r="AW18" s="946">
        <f>IF(ISNUMBER((Datos!Q18-Datos!R18)/(Datos!S18-Datos!Q18+Datos!R18)),(Datos!Q18-Datos!R18)/(Datos!S18-Datos!Q18+Datos!R18)," - ")</f>
        <v>-6.028589185829708E-2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57</v>
      </c>
      <c r="G19" s="951">
        <f t="shared" si="4"/>
        <v>57</v>
      </c>
      <c r="H19" s="951">
        <f t="shared" si="4"/>
        <v>0</v>
      </c>
      <c r="I19" s="952">
        <f t="shared" si="4"/>
        <v>0</v>
      </c>
      <c r="J19" s="953">
        <f t="shared" si="4"/>
        <v>0</v>
      </c>
      <c r="K19" s="953">
        <f t="shared" si="4"/>
        <v>0</v>
      </c>
      <c r="L19" s="953">
        <f t="shared" si="4"/>
        <v>0</v>
      </c>
      <c r="M19" s="953">
        <f t="shared" si="4"/>
        <v>0</v>
      </c>
      <c r="N19" s="952">
        <f t="shared" si="4"/>
        <v>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27</v>
      </c>
      <c r="AC19" s="957">
        <f t="shared" si="5"/>
        <v>0</v>
      </c>
      <c r="AD19" s="957">
        <f t="shared" si="5"/>
        <v>0</v>
      </c>
      <c r="AE19" s="957">
        <f t="shared" si="5"/>
        <v>0</v>
      </c>
      <c r="AF19" s="958">
        <f t="shared" si="5"/>
        <v>62</v>
      </c>
      <c r="AG19" s="958">
        <f t="shared" si="5"/>
        <v>0</v>
      </c>
      <c r="AH19" s="958">
        <f t="shared" si="5"/>
        <v>0</v>
      </c>
      <c r="AI19" s="958">
        <f t="shared" si="5"/>
        <v>0</v>
      </c>
      <c r="AJ19" s="959">
        <f t="shared" si="5"/>
        <v>0</v>
      </c>
      <c r="AK19" s="959">
        <f t="shared" si="5"/>
        <v>0</v>
      </c>
      <c r="AL19" s="951">
        <f t="shared" si="5"/>
        <v>7</v>
      </c>
      <c r="AM19" s="951">
        <f t="shared" si="5"/>
        <v>11</v>
      </c>
      <c r="AN19" s="951">
        <f t="shared" si="5"/>
        <v>0</v>
      </c>
      <c r="AO19" s="951">
        <f t="shared" si="5"/>
        <v>0</v>
      </c>
      <c r="AP19" s="951">
        <f>IF(ISNUMBER(((Datos!L19/Datos!K19)*11)/factor_trimestre),((Datos!L19/Datos!K19)*11)/factor_trimestre," - ")</f>
        <v>4.805529300567108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-0.47368421052631576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2.3505623657272844E-2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3.2659863237109041</v>
      </c>
      <c r="F21" s="736">
        <f>IF(ISNUMBER(STDEV(F8:F18)),STDEV(F8:F18),"-")</f>
        <v>32.908965343808667</v>
      </c>
      <c r="G21" s="737">
        <f>IF(ISNUMBER(STDEV(G8:G18)),STDEV(G8:G18),"-")</f>
        <v>32.908965343808667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15.588457268119896</v>
      </c>
      <c r="AC21" s="738">
        <f>IF(ISNUMBER(STDEV(AC8:AC18)),STDEV(AC8:AC18),"-")</f>
        <v>0</v>
      </c>
      <c r="AD21" s="741"/>
      <c r="AE21" s="741"/>
      <c r="AF21" s="741"/>
      <c r="AG21" s="741"/>
      <c r="AH21" s="741"/>
      <c r="AI21" s="741"/>
      <c r="AJ21" s="742">
        <f>IF(ISNUMBER(STDEV(AJ8:AJ18)),STDEV(AJ8:AJ18),"-")</f>
        <v>0</v>
      </c>
      <c r="AK21" s="744"/>
      <c r="AL21" s="736">
        <f>IF(ISNUMBER(STDEV(AL8:AL18)),STDEV(AL8:AL18),"-")</f>
        <v>4.0414518843273806</v>
      </c>
      <c r="AM21" s="736"/>
      <c r="AN21" s="736">
        <f>IF(ISNUMBER(STDEV(AN8:AN18)),STDEV(AN8:AN18),"-")</f>
        <v>0</v>
      </c>
      <c r="AO21" s="742">
        <f>IF(ISNUMBER(STDEV(AO8:AO18)),STDEV(AO8:AO18),"-")</f>
        <v>0</v>
      </c>
      <c r="AP21" s="779">
        <f>IF(ISNUMBER(STDEV(AP8:AP18)),STDEV(AP8:AP18),"-")</f>
        <v>1.242980966895495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hqy7ptp5b4bAR8AHiZgZYJid2bE8CRnb6JY1ZNoR2//eZQW0UZhvIHInqD4Qvfw8KsC3yNfUxCfMSdXOlZn2EQ==" saltValue="pZQfPQjmDNG3v595OyG9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OURENSE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QKe8lnFM8Fx0MjPx47TiDuS/cdChHZVn6G27UxPku9EvounNfCWqrWcioSoox8FYIE9hizTQF64MyEkGINVp3Q==" saltValue="xIuT7HtSJUKIa83IAemg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OURENSE</v>
      </c>
      <c r="C3" s="391"/>
      <c r="D3" s="425"/>
    </row>
    <row r="4" spans="1:9" ht="13.5" thickBot="1">
      <c r="B4" s="391" t="str">
        <f>Criterios!A11 &amp;"  "&amp;Criterios!B11</f>
        <v>Resumenes por Partidos Judiciales  OURENSE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6</v>
      </c>
      <c r="C9" s="410">
        <f>Datos!AQ9</f>
        <v>6</v>
      </c>
      <c r="D9" s="403">
        <f>IF(ISNUMBER(Datos!M9),Datos!M9," - ")</f>
        <v>670</v>
      </c>
      <c r="E9" s="404">
        <f t="shared" ref="E9:E13" si="0">IF(ISNUMBER(D9/B9),D9/B9," - ")</f>
        <v>111.66666666666667</v>
      </c>
      <c r="F9" s="403">
        <f>IF(ISNUMBER(Datos!N9),Datos!N9," - ")</f>
        <v>846</v>
      </c>
      <c r="G9" s="404">
        <f t="shared" ref="G9:G13" si="1">IF(ISNUMBER(F9/B9),F9/B9," - ")</f>
        <v>141</v>
      </c>
      <c r="H9" s="403">
        <f>IF(ISNUMBER(Datos!O9),Datos!O9," - ")</f>
        <v>1160</v>
      </c>
      <c r="I9" s="404">
        <f>IF(ISNUMBER(H9/B9),H9/B9," - ")</f>
        <v>193.33333333333334</v>
      </c>
    </row>
    <row r="10" spans="1:9">
      <c r="A10" s="402" t="str">
        <f>Datos!A10</f>
        <v>Jdos. Violencia contra la mujer</v>
      </c>
      <c r="B10" s="427">
        <f>Datos!AO10</f>
        <v>1</v>
      </c>
      <c r="C10" s="410">
        <f>Datos!AQ10</f>
        <v>0</v>
      </c>
      <c r="D10" s="403">
        <f>IF(ISNUMBER(Datos!M10),Datos!M10," - ")</f>
        <v>7</v>
      </c>
      <c r="E10" s="404">
        <f>IF(ISNUMBER(D10/B10),D10/B10," - ")</f>
        <v>7</v>
      </c>
      <c r="F10" s="403">
        <f>IF(ISNUMBER(Datos!N10),Datos!N10," - ")</f>
        <v>11</v>
      </c>
      <c r="G10" s="404">
        <f>IF(ISNUMBER(F10/B10),F10/B10," - ")</f>
        <v>11</v>
      </c>
      <c r="H10" s="403">
        <f>IF(ISNUMBER(Datos!O10),Datos!O10," - ")</f>
        <v>9</v>
      </c>
      <c r="I10" s="404">
        <f t="shared" ref="I10:I12" si="2">IF(ISNUMBER(H10/B10),H10/B10," - ")</f>
        <v>9</v>
      </c>
    </row>
    <row r="11" spans="1:9">
      <c r="A11" s="402" t="str">
        <f>Datos!A11</f>
        <v xml:space="preserve">Jdos. Familia                                   </v>
      </c>
      <c r="B11" s="427">
        <f>Datos!AO11</f>
        <v>1</v>
      </c>
      <c r="C11" s="410">
        <f>Datos!AQ11</f>
        <v>1</v>
      </c>
      <c r="D11" s="403">
        <f>IF(ISNUMBER(Datos!M11),Datos!M11," - ")</f>
        <v>73</v>
      </c>
      <c r="E11" s="404">
        <f t="shared" si="0"/>
        <v>73</v>
      </c>
      <c r="F11" s="403">
        <f>IF(ISNUMBER(Datos!N11),Datos!N11," - ")</f>
        <v>384</v>
      </c>
      <c r="G11" s="404">
        <f t="shared" si="1"/>
        <v>384</v>
      </c>
      <c r="H11" s="403">
        <f>IF(ISNUMBER(Datos!O11),Datos!O11," - ")</f>
        <v>203</v>
      </c>
      <c r="I11" s="404">
        <f t="shared" si="2"/>
        <v>203</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8</v>
      </c>
      <c r="C13" s="851">
        <f>Datos!AR13</f>
        <v>7</v>
      </c>
      <c r="D13" s="849">
        <f>SUBTOTAL(9,D9:D12)</f>
        <v>750</v>
      </c>
      <c r="E13" s="850">
        <f t="shared" si="0"/>
        <v>93.75</v>
      </c>
      <c r="F13" s="849">
        <f>SUBTOTAL(9,F9:F12)</f>
        <v>1241</v>
      </c>
      <c r="G13" s="850">
        <f t="shared" si="1"/>
        <v>155.125</v>
      </c>
      <c r="H13" s="849">
        <f>SUBTOTAL(9,H9:H12)</f>
        <v>1372</v>
      </c>
      <c r="I13" s="850">
        <f>IF(ISNUMBER(H13/B13),H13/B13," - ")</f>
        <v>171.5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3</v>
      </c>
      <c r="C15" s="428">
        <f>Datos!AQ15</f>
        <v>3</v>
      </c>
      <c r="D15" s="403">
        <f>IF(ISNUMBER(Datos!M15),Datos!M15," - ")</f>
        <v>258</v>
      </c>
      <c r="E15" s="404">
        <f t="shared" ref="E15:E18" si="3">IF(ISNUMBER(D15/B15),D15/B15," - ")</f>
        <v>86</v>
      </c>
      <c r="F15" s="403">
        <f>IF(ISNUMBER(Datos!N15),Datos!N15," - ")</f>
        <v>582</v>
      </c>
      <c r="G15" s="404">
        <f t="shared" ref="G15:G18" si="4">IF(ISNUMBER(F15/B15),F15/B15," - ")</f>
        <v>194</v>
      </c>
      <c r="H15" s="403">
        <f>IF(ISNUMBER(Datos!O15),Datos!O15," - ")</f>
        <v>10</v>
      </c>
      <c r="I15" s="404">
        <f t="shared" ref="I15:I17" si="5">IF(ISNUMBER(H15/B15),H15/B15," - ")</f>
        <v>3.3333333333333335</v>
      </c>
    </row>
    <row r="16" spans="1:9">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row>
    <row r="17" spans="1:9" ht="13.5" thickBot="1">
      <c r="A17" s="402" t="str">
        <f>Datos!A17</f>
        <v>Jdos. Violencia contra la mujer</v>
      </c>
      <c r="B17" s="427">
        <f>Datos!AO17</f>
        <v>1</v>
      </c>
      <c r="C17" s="428">
        <f>Datos!AQ17</f>
        <v>0</v>
      </c>
      <c r="D17" s="403">
        <f>IF(ISNUMBER(Datos!M17),Datos!M17," - ")</f>
        <v>24</v>
      </c>
      <c r="E17" s="404">
        <f>IF(ISNUMBER(D17/B17),D17/B17," - ")</f>
        <v>24</v>
      </c>
      <c r="F17" s="403">
        <f>IF(ISNUMBER(Datos!N17),Datos!N17," - ")</f>
        <v>110</v>
      </c>
      <c r="G17" s="404">
        <f>IF(ISNUMBER(F17/B17),F17/B17," - ")</f>
        <v>110</v>
      </c>
      <c r="H17" s="403">
        <f>IF(ISNUMBER(Datos!O17),Datos!O17," - ")</f>
        <v>2</v>
      </c>
      <c r="I17" s="404">
        <f t="shared" si="5"/>
        <v>2</v>
      </c>
    </row>
    <row r="18" spans="1:9" ht="14.25" thickTop="1" thickBot="1">
      <c r="A18" s="848" t="str">
        <f>Datos!A18</f>
        <v>TOTAL</v>
      </c>
      <c r="B18" s="849">
        <f>Datos!AO18</f>
        <v>4</v>
      </c>
      <c r="C18" s="851">
        <f>Datos!AR18</f>
        <v>3</v>
      </c>
      <c r="D18" s="849">
        <f>SUBTOTAL(9,D15:D17)</f>
        <v>282</v>
      </c>
      <c r="E18" s="850">
        <f t="shared" si="3"/>
        <v>70.5</v>
      </c>
      <c r="F18" s="849">
        <f>SUBTOTAL(9,F15:F17)</f>
        <v>692</v>
      </c>
      <c r="G18" s="850">
        <f t="shared" si="4"/>
        <v>173</v>
      </c>
      <c r="H18" s="849">
        <f>SUBTOTAL(9,H15:H17)</f>
        <v>12</v>
      </c>
      <c r="I18" s="850">
        <f>IF(ISNUMBER(H18/B18),H18/B18," - ")</f>
        <v>3</v>
      </c>
    </row>
    <row r="19" spans="1:9" ht="14.25" thickTop="1" thickBot="1">
      <c r="A19" s="793" t="str">
        <f>Datos!A19</f>
        <v>TOTAL JURISDICCIONES</v>
      </c>
      <c r="B19" s="794">
        <f>Datos!AP19</f>
        <v>10</v>
      </c>
      <c r="C19" s="794">
        <f>Datos!AR19</f>
        <v>10</v>
      </c>
      <c r="D19" s="794">
        <f>SUBTOTAL(9,D8:D18)</f>
        <v>1032</v>
      </c>
      <c r="E19" s="795">
        <f>IF(ISNUMBER(D19/B19),D19/B19," - ")</f>
        <v>103.2</v>
      </c>
      <c r="F19" s="794">
        <f>SUBTOTAL(9,F8:F18)</f>
        <v>1933</v>
      </c>
      <c r="G19" s="795">
        <f>IF(ISNUMBER(F19/B19),F19/B19," - ")</f>
        <v>193.3</v>
      </c>
      <c r="H19" s="794">
        <f>SUBTOTAL(9,H8:H18)</f>
        <v>1384</v>
      </c>
      <c r="I19" s="795">
        <f>IF(ISNUMBER(H19/B19),H19/B19," - ")</f>
        <v>138.4</v>
      </c>
    </row>
    <row r="22" spans="1:9">
      <c r="A22" s="391" t="str">
        <f>Criterios!A4</f>
        <v>Fecha Informe: 29 may. 2024</v>
      </c>
    </row>
    <row r="27" spans="1:9">
      <c r="A27" s="414"/>
    </row>
  </sheetData>
  <sheetProtection algorithmName="SHA-512" hashValue="B0Uzy5EZ6LFNqENTSRqV6kTj1k0K9uwJk2qBxLshXNSMS0iV4pV/WveSlmMMDX/WTlLcaJE5jgVKHON5IzhmYw==" saltValue="Eta4VSTAbHZsDWjitCqr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OURENSE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472</v>
      </c>
      <c r="C9" s="434">
        <f>IF(ISNUMBER(Datos!Q9),Datos!Q9," - ")</f>
        <v>255</v>
      </c>
      <c r="D9" s="408">
        <f>IF(ISNUMBER(Datos!R9),Datos!R9," - ")</f>
        <v>7503</v>
      </c>
    </row>
    <row r="10" spans="1:4">
      <c r="A10" s="402" t="str">
        <f>Datos!A10</f>
        <v>Jdos. Violencia contra la mujer</v>
      </c>
      <c r="B10" s="433">
        <f>IF(ISNUMBER(Datos!P10),Datos!P10," - ")</f>
        <v>2</v>
      </c>
      <c r="C10" s="434">
        <f>IF(ISNUMBER(Datos!Q10),Datos!Q10," - ")</f>
        <v>5</v>
      </c>
      <c r="D10" s="408">
        <f>IF(ISNUMBER(Datos!R10),Datos!R10," - ")</f>
        <v>70</v>
      </c>
    </row>
    <row r="11" spans="1:4">
      <c r="A11" s="402" t="str">
        <f>Datos!A11</f>
        <v xml:space="preserve">Jdos. Familia                                   </v>
      </c>
      <c r="B11" s="433">
        <f>IF(ISNUMBER(Datos!P11),Datos!P11," - ")</f>
        <v>23</v>
      </c>
      <c r="C11" s="434">
        <f>IF(ISNUMBER(Datos!Q11),Datos!Q11," - ")</f>
        <v>50</v>
      </c>
      <c r="D11" s="408">
        <f>IF(ISNUMBER(Datos!R11),Datos!R11," - ")</f>
        <v>359</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497</v>
      </c>
      <c r="C13" s="853">
        <f>SUBTOTAL(9,C9:C12)</f>
        <v>310</v>
      </c>
      <c r="D13" s="851">
        <f>SUBTOTAL(9,D9:D12)</f>
        <v>7932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67</v>
      </c>
      <c r="C15" s="434">
        <f>IF(ISNUMBER(Datos!Q15),Datos!Q15," - ")</f>
        <v>68</v>
      </c>
      <c r="D15" s="408">
        <f>IF(ISNUMBER(Datos!R15),Datos!R15," - ")</f>
        <v>163</v>
      </c>
    </row>
    <row r="16" spans="1:4">
      <c r="A16" s="402" t="str">
        <f>Datos!A16</f>
        <v xml:space="preserve">Jdos. 1ª Instª. e Instr.                        </v>
      </c>
      <c r="B16" s="433">
        <f>IF(ISNUMBER(Datos!P16),Datos!P16," - ")</f>
        <v>0</v>
      </c>
      <c r="C16" s="434">
        <f>IF(ISNUMBER(Datos!Q16),Datos!Q16," - ")</f>
        <v>0</v>
      </c>
      <c r="D16" s="408">
        <f>IF(ISNUMBER(Datos!R16),Datos!R16," - ")</f>
        <v>0</v>
      </c>
    </row>
    <row r="17" spans="1:4" ht="13.5" thickBot="1">
      <c r="A17" s="402" t="str">
        <f>Datos!A17</f>
        <v>Jdos. Violencia contra la mujer</v>
      </c>
      <c r="B17" s="433">
        <f>IF(ISNUMBER(Datos!P17),Datos!P17," - ")</f>
        <v>2</v>
      </c>
      <c r="C17" s="434">
        <f>IF(ISNUMBER(Datos!Q17),Datos!Q17," - ")</f>
        <v>2</v>
      </c>
      <c r="D17" s="408">
        <f>IF(ISNUMBER(Datos!R17),Datos!R17," - ")</f>
        <v>4</v>
      </c>
    </row>
    <row r="18" spans="1:4" ht="14.25" thickTop="1" thickBot="1">
      <c r="A18" s="848" t="str">
        <f>Datos!A18</f>
        <v>TOTAL</v>
      </c>
      <c r="B18" s="849">
        <f>SUBTOTAL(9,B15:B17)</f>
        <v>69</v>
      </c>
      <c r="C18" s="853">
        <f>SUBTOTAL(9,C15:C17)</f>
        <v>70</v>
      </c>
      <c r="D18" s="851">
        <f>SUBTOTAL(9,D15:D17)</f>
        <v>167</v>
      </c>
    </row>
    <row r="19" spans="1:4" ht="16.5" customHeight="1" thickTop="1" thickBot="1">
      <c r="A19" s="793" t="str">
        <f>Datos!A19</f>
        <v>TOTAL JURISDICCIONES</v>
      </c>
      <c r="B19" s="798">
        <f>SUBTOTAL(9,B8:B18)</f>
        <v>566</v>
      </c>
      <c r="C19" s="799">
        <f>SUBTOTAL(9,C8:C18)</f>
        <v>380</v>
      </c>
      <c r="D19" s="800">
        <f>SUBTOTAL(9,D8:D18)</f>
        <v>8099</v>
      </c>
    </row>
    <row r="20" spans="1:4" ht="7.5" customHeight="1"/>
    <row r="21" spans="1:4" ht="6" customHeight="1"/>
    <row r="22" spans="1:4">
      <c r="A22" s="391" t="str">
        <f>Criterios!A4</f>
        <v>Fecha Informe: 29 may. 2024</v>
      </c>
    </row>
    <row r="27" spans="1:4">
      <c r="A27" s="414"/>
    </row>
  </sheetData>
  <sheetProtection algorithmName="SHA-512" hashValue="BtmzZaC3yCXIV0l4ZjrtWcIryR54HoO6h8DZc0T/PHfPkzVnfemcxBGSmYI+km5uAftnj9/xt6vkg3eu++DB7Q==" saltValue="RgbAJxbysThQ4K014TON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OURENSE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0.25763425763425762</v>
      </c>
      <c r="C9" s="456">
        <f>IF(ISNUMBER(
   IF(J_V="SI",(Datos!J9-Datos!T9)/Datos!T9,(Datos!J9+Datos!Z9-(Datos!T9+Datos!AH9))/(Datos!T9+Datos!AH9))
     ),IF(J_V="SI",(Datos!J9-Datos!T9)/Datos!T9,(Datos!J9+Datos!Z9-(Datos!T9+Datos!AH9))/(Datos!T9+Datos!AH9))," - ")</f>
        <v>1.6403785488958991</v>
      </c>
      <c r="D9" s="456">
        <f>IF(ISNUMBER(
   IF(J_V="SI",(Datos!K9-Datos!U9)/Datos!U9,(Datos!K9+Datos!AA9-(Datos!U9+Datos!AI9))/(Datos!U9+Datos!AI9))
     ),IF(J_V="SI",(Datos!K9-Datos!U9)/Datos!U9,(Datos!K9+Datos!AA9-(Datos!U9+Datos!AI9))/(Datos!U9+Datos!AI9))," - ")</f>
        <v>1.8216783216783217</v>
      </c>
      <c r="E9" s="456">
        <f>IF(ISNUMBER(
   IF(J_V="SI",(Datos!L9-Datos!V9)/Datos!V9,(Datos!L9+Datos!AB9-(Datos!V9+Datos!AJ9))/(Datos!V9+Datos!AJ9))
     ),IF(J_V="SI",(Datos!L9-Datos!V9)/Datos!V9,(Datos!L9+Datos!AB9-(Datos!V9+Datos!AJ9))/(Datos!V9+Datos!AJ9))," - ")</f>
        <v>0.24847042828008159</v>
      </c>
      <c r="F9" s="456">
        <f>IF(ISNUMBER((Datos!M9-Datos!W9)/Datos!W9),(Datos!M9-Datos!W9)/Datos!W9," - ")</f>
        <v>1.7459016393442623</v>
      </c>
      <c r="G9" s="457">
        <f>IF(ISNUMBER((Datos!N9-Datos!X9)/Datos!X9),(Datos!N9-Datos!X9)/Datos!X9," - ")</f>
        <v>1.720257234726688</v>
      </c>
      <c r="H9" s="455">
        <f>IF(ISNUMBER(((NºAsuntos!G9/NºAsuntos!E9)-Datos!BD9)/Datos!BD9),((NºAsuntos!G9/NºAsuntos!E9)-Datos!BD9)/Datos!BD9," - ")</f>
        <v>6.8664310599794401E-2</v>
      </c>
      <c r="I9" s="456">
        <f>IF(ISNUMBER(((NºAsuntos!I9/NºAsuntos!G9)-Datos!BE9)/Datos!BE9),((NºAsuntos!I9/NºAsuntos!G9)-Datos!BE9)/Datos!BE9," - ")</f>
        <v>-0.557543317858608</v>
      </c>
      <c r="J9" s="461">
        <f>IF(ISNUMBER((('Resol  Asuntos'!D9/NºAsuntos!G9)-Datos!BF9)/Datos!BF9),(('Resol  Asuntos'!D9/NºAsuntos!G9)-Datos!BF9)/Datos!BF9," - ")</f>
        <v>-0.23650374337090643</v>
      </c>
      <c r="K9" s="462">
        <f>IF(ISNUMBER((((NºAsuntos!C9+NºAsuntos!E9)/NºAsuntos!G9)-Datos!BG9)/Datos!BG9),(((NºAsuntos!C9+NºAsuntos!E9)/NºAsuntos!G9)-Datos!BG9)/Datos!BG9," - ")</f>
        <v>-0.43165590556316435</v>
      </c>
    </row>
    <row r="10" spans="1:11">
      <c r="A10" s="402" t="str">
        <f>Datos!A10</f>
        <v>Jdos. Violencia contra la mujer</v>
      </c>
      <c r="B10" s="455">
        <f>IF(ISNUMBER((Datos!I10-Datos!S10)/Datos!S10),(Datos!I10-Datos!S10)/Datos!S10," - ")</f>
        <v>-0.12307692307692308</v>
      </c>
      <c r="C10" s="456">
        <f>IF(ISNUMBER((Datos!J10-Datos!T10)/Datos!T10),(Datos!J10-Datos!T10)/Datos!T10," - ")</f>
        <v>-0.21951219512195122</v>
      </c>
      <c r="D10" s="456">
        <f>IF(ISNUMBER((Datos!K10-Datos!U10)/Datos!U10),(Datos!K10-Datos!U10)/Datos!U10," - ")</f>
        <v>0.125</v>
      </c>
      <c r="E10" s="456">
        <f>IF(ISNUMBER((Datos!L10-Datos!V10)/Datos!V10),(Datos!L10-Datos!V10)/Datos!V10," - ")</f>
        <v>-7.4626865671641784E-2</v>
      </c>
      <c r="F10" s="456">
        <f>IF(ISNUMBER((Datos!M10-Datos!W10)/Datos!W10),(Datos!M10-Datos!W10)/Datos!W10," - ")</f>
        <v>2.5</v>
      </c>
      <c r="G10" s="457">
        <f>IF(ISNUMBER((Datos!N10-Datos!X10)/Datos!X10),(Datos!N10-Datos!X10)/Datos!X10," - ")</f>
        <v>-0.35294117647058826</v>
      </c>
      <c r="H10" s="455">
        <f>IF(ISNUMBER(((NºAsuntos!G10/NºAsuntos!E10)-Datos!BD10)/Datos!BD10),((NºAsuntos!G10/NºAsuntos!E10)-Datos!BD10)/Datos!BD10," - ")</f>
        <v>0.44140625000000011</v>
      </c>
      <c r="I10" s="456">
        <f>IF(ISNUMBER(((NºAsuntos!I10/NºAsuntos!G10)-Datos!BE10)/Datos!BE10),((NºAsuntos!I10/NºAsuntos!G10)-Datos!BE10)/Datos!BE10," - ")</f>
        <v>-0.17744610281923712</v>
      </c>
      <c r="J10" s="461">
        <f>IF(ISNUMBER((('Resol  Asuntos'!D10/NºAsuntos!G10)-Datos!BF10)/Datos!BF10),(('Resol  Asuntos'!D10/NºAsuntos!G10)-Datos!BF10)/Datos!BF10," - ")</f>
        <v>2.1111111111111112</v>
      </c>
      <c r="K10" s="462">
        <f>IF(ISNUMBER((((NºAsuntos!C10+NºAsuntos!E10)/NºAsuntos!G10)-Datos!BG10)/Datos!BG10),(((NºAsuntos!C10+NºAsuntos!E10)/NºAsuntos!G10)-Datos!BG10)/Datos!BG10," - ")</f>
        <v>-0.2536687631027254</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0.11522633744855967</v>
      </c>
      <c r="C11" s="456">
        <f>IF(ISNUMBER(
   IF(J_V="SI",(Datos!J11-Datos!T11)/Datos!T11,(Datos!J11+Datos!Z11-(Datos!T11+Datos!AH11))/(Datos!T11+Datos!AH11))
     ),IF(J_V="SI",(Datos!J11-Datos!T11)/Datos!T11,(Datos!J11+Datos!Z11-(Datos!T11+Datos!AH11))/(Datos!T11+Datos!AH11))," - ")</f>
        <v>-7.8754578754578752E-2</v>
      </c>
      <c r="D11" s="456">
        <f>IF(ISNUMBER(
   IF(J_V="SI",(Datos!K11-Datos!U11)/Datos!U11,(Datos!K11+Datos!AA11-(Datos!U11+Datos!AI11))/(Datos!U11+Datos!AI11))
     ),IF(J_V="SI",(Datos!K11-Datos!U11)/Datos!U11,(Datos!K11+Datos!AA11-(Datos!U11+Datos!AI11))/(Datos!U11+Datos!AI11))," - ")</f>
        <v>0.25925925925925924</v>
      </c>
      <c r="E11" s="456">
        <f>IF(ISNUMBER(
   IF(J_V="SI",(Datos!L11-Datos!V11)/Datos!V11,(Datos!L11+Datos!AB11-(Datos!V11+Datos!AJ11))/(Datos!V11+Datos!AJ11))
     ),IF(J_V="SI",(Datos!L11-Datos!V11)/Datos!V11,(Datos!L11+Datos!AB11-(Datos!V11+Datos!AJ11))/(Datos!V11+Datos!AJ11))," - ")</f>
        <v>-2.5120772946859903E-2</v>
      </c>
      <c r="F11" s="456">
        <f>IF(ISNUMBER((Datos!M11-Datos!W11)/Datos!W11),(Datos!M11-Datos!W11)/Datos!W11," - ")</f>
        <v>-0.27</v>
      </c>
      <c r="G11" s="457">
        <f>IF(ISNUMBER((Datos!N11-Datos!X11)/Datos!X11),(Datos!N11-Datos!X11)/Datos!X11," - ")</f>
        <v>0.5</v>
      </c>
      <c r="H11" s="455">
        <f>IF(ISNUMBER(((NºAsuntos!G11/NºAsuntos!E11)-Datos!BD11)/Datos!BD11),((NºAsuntos!G11/NºAsuntos!E11)-Datos!BD11)/Datos!BD11," - ")</f>
        <v>0.36690965319195934</v>
      </c>
      <c r="I11" s="456">
        <f>IF(ISNUMBER(((NºAsuntos!I11/NºAsuntos!G11)-Datos!BE11)/Datos!BE11),((NºAsuntos!I11/NºAsuntos!G11)-Datos!BE11)/Datos!BE11," - ")</f>
        <v>-0.22583120204603579</v>
      </c>
      <c r="J11" s="461">
        <f>IF(ISNUMBER((('Resol  Asuntos'!D11/NºAsuntos!G11)-Datos!BF11)/Datos!BF11),(('Resol  Asuntos'!D11/NºAsuntos!G11)-Datos!BF11)/Datos!BF11," - ")</f>
        <v>-0.77355238970588236</v>
      </c>
      <c r="K11" s="462">
        <f>IF(ISNUMBER((((NºAsuntos!C11+NºAsuntos!E11)/NºAsuntos!G11)-Datos!BG11)/Datos!BG11),(((NºAsuntos!C11+NºAsuntos!E11)/NºAsuntos!G11)-Datos!BG11)/Datos!BG11," - ")</f>
        <v>-0.16978609625668445</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0.21564590838908904</v>
      </c>
      <c r="C13" s="855">
        <f>IF(ISNUMBER(
   IF(J_V="SI",(Datos!J13-Datos!T13)/Datos!T13,(Datos!J13+Datos!Z13-(Datos!T13+Datos!AH13))/(Datos!T13+Datos!AH13))
     ),IF(J_V="SI",(Datos!J13-Datos!T13)/Datos!T13,(Datos!J13+Datos!Z13-(Datos!T13+Datos!AH13))/(Datos!T13+Datos!AH13))," - ")</f>
        <v>0.98049414824447334</v>
      </c>
      <c r="D13" s="855">
        <f>IF(ISNUMBER(
   IF(J_V="SI",(Datos!K13-Datos!U13)/Datos!U13,(Datos!K13+Datos!AA13-(Datos!U13+Datos!AI13))/(Datos!U13+Datos!AI13))
     ),IF(J_V="SI",(Datos!K13-Datos!U13)/Datos!U13,(Datos!K13+Datos!AA13-(Datos!U13+Datos!AI13))/(Datos!U13+Datos!AI13))," - ")</f>
        <v>1.2565249813571961</v>
      </c>
      <c r="E13" s="855">
        <f>IF(ISNUMBER(
   IF(J_V="SI",(Datos!L13-Datos!V13)/Datos!V13,(Datos!L13+Datos!AB13-(Datos!V13+Datos!AJ13))/(Datos!V13+Datos!AJ13))
     ),IF(J_V="SI",(Datos!L13-Datos!V13)/Datos!V13,(Datos!L13+Datos!AB13-(Datos!V13+Datos!AJ13))/(Datos!V13+Datos!AJ13))," - ")</f>
        <v>0.17309594460929772</v>
      </c>
      <c r="F13" s="856">
        <f>IF(ISNUMBER((Datos!M13-Datos!W13)/Datos!W13),(Datos!M13-Datos!W13)/Datos!W13," - ")</f>
        <v>1.1676300578034682</v>
      </c>
      <c r="G13" s="857">
        <f>IF(ISNUMBER((Datos!N13-Datos!X13)/Datos!X13),(Datos!N13-Datos!X13)/Datos!X13," - ")</f>
        <v>1.125</v>
      </c>
      <c r="H13" s="857">
        <f>IF(ISNUMBER(((NºAsuntos!G13/NºAsuntos!E13)-Datos!BD13)/Datos!BD13),((NºAsuntos!G13/NºAsuntos!E13)-Datos!BD13)/Datos!BD13," - ")</f>
        <v>0.13937472794726452</v>
      </c>
      <c r="I13" s="857">
        <f>IF(ISNUMBER(((NºAsuntos!I13/NºAsuntos!G13)-Datos!BE13)/Datos!BE13),((NºAsuntos!I13/NºAsuntos!G13)-Datos!BE13)/Datos!BE13," - ")</f>
        <v>-0.48013163855880092</v>
      </c>
      <c r="J13" s="857">
        <f>IF(ISNUMBER((('Resol  Asuntos'!D13/NºAsuntos!G13)-Datos!BF13)/Datos!BF13),(('Resol  Asuntos'!D13/NºAsuntos!G13)-Datos!BF13)/Datos!BF13," - ")</f>
        <v>-0.41587088815502904</v>
      </c>
      <c r="K13" s="857">
        <f>IF(ISNUMBER((((NºAsuntos!C13+NºAsuntos!E13)/NºAsuntos!G13)-Datos!BG13)/Datos!BG13),(((NºAsuntos!C13+NºAsuntos!E13)/NºAsuntos!G13)-Datos!BG13)/Datos!BG13," - ")</f>
        <v>-0.36516451812901751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0.72058823529411764</v>
      </c>
      <c r="C15" s="456">
        <f>IF(ISNUMBER(
   IF(D_I="SI",(Datos!J15-Datos!T15)/Datos!T15,(Datos!J15+Datos!AD15-(Datos!T15+Datos!AL15))/(Datos!T15+Datos!AL15))
     ),IF(D_I="SI",(Datos!J15-Datos!T15)/Datos!T15,(Datos!J15+Datos!AD15-(Datos!T15+Datos!AL15))/(Datos!T15+Datos!AL15))," - ")</f>
        <v>0.35335335335335333</v>
      </c>
      <c r="D15" s="456">
        <f>IF(ISNUMBER(
   IF(D_I="SI",(Datos!K15-Datos!U15)/Datos!U15,(Datos!K15+Datos!AE15-(Datos!U15+Datos!AM15))/(Datos!U15+Datos!AM15))
     ),IF(D_I="SI",(Datos!K15-Datos!U15)/Datos!U15,(Datos!K15+Datos!AE15-(Datos!U15+Datos!AM15))/(Datos!U15+Datos!AM15))," - ")</f>
        <v>0.9614325068870524</v>
      </c>
      <c r="E15" s="456">
        <f>IF(ISNUMBER(
   IF(D_I="SI",(Datos!L15-Datos!V15)/Datos!V15,(Datos!L15+Datos!AF15-(Datos!V15+Datos!AN15))/(Datos!V15+Datos!AN15))
     ),IF(D_I="SI",(Datos!L15-Datos!V15)/Datos!V15,(Datos!L15+Datos!AF15-(Datos!V15+Datos!AN15))/(Datos!V15+Datos!AN15))," - ")</f>
        <v>0.35786350148367951</v>
      </c>
      <c r="F15" s="456">
        <f>IF(ISNUMBER((Datos!M15-Datos!W15)/Datos!W15),(Datos!M15-Datos!W15)/Datos!W15," - ")</f>
        <v>2.1084337349397591</v>
      </c>
      <c r="G15" s="457">
        <f>IF(ISNUMBER((Datos!N15-Datos!X15)/Datos!X15),(Datos!N15-Datos!X15)/Datos!X15," - ")</f>
        <v>0.515625</v>
      </c>
      <c r="H15" s="455">
        <f>IF(ISNUMBER(((NºAsuntos!G15/NºAsuntos!E15)-Datos!BD15)/Datos!BD15),((NºAsuntos!G15/NºAsuntos!E15)-Datos!BD15)/Datos!BD15," - ")</f>
        <v>0.44931292483740032</v>
      </c>
      <c r="I15" s="456">
        <f>IF(ISNUMBER(((NºAsuntos!I15/NºAsuntos!G15)-Datos!BE15)/Datos!BE15),((NºAsuntos!I15/NºAsuntos!G15)-Datos!BE15)/Datos!BE15," - ")</f>
        <v>-0.30771846764244998</v>
      </c>
      <c r="J15" s="461">
        <f>IF(ISNUMBER((('Resol  Asuntos'!D15/NºAsuntos!G15)-Datos!BF15)/Datos!BF15),(('Resol  Asuntos'!D15/NºAsuntos!G15)-Datos!BF15)/Datos!BF15," - ")</f>
        <v>0.58477731149316359</v>
      </c>
      <c r="K15" s="462">
        <f>IF(ISNUMBER((((NºAsuntos!C15+NºAsuntos!E15)/NºAsuntos!G15)-Datos!BG15)/Datos!BG15),(((NºAsuntos!C15+NºAsuntos!E15)/NºAsuntos!G15)-Datos!BG15)/Datos!BG15," - ")</f>
        <v>-0.20207810393853803</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0</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0.11920529801324503</v>
      </c>
      <c r="C17" s="456">
        <f>IF(ISNUMBER(
   IF(D_I="SI",(Datos!J17-Datos!T17)/Datos!T17,(Datos!J17+Datos!AD17-(Datos!T17+Datos!AL17))/(Datos!T17+Datos!AL17))
     ),IF(D_I="SI",(Datos!J17-Datos!T17)/Datos!T17,(Datos!J17+Datos!AD17-(Datos!T17+Datos!AL17))/(Datos!T17+Datos!AL17))," - ")</f>
        <v>-5.4054054054054057E-3</v>
      </c>
      <c r="D17" s="456">
        <f>IF(ISNUMBER(
   IF(D_I="SI",(Datos!K17-Datos!U17)/Datos!U17,(Datos!K17+Datos!AE17-(Datos!U17+Datos!AM17))/(Datos!U17+Datos!AM17))
     ),IF(D_I="SI",(Datos!K17-Datos!U17)/Datos!U17,(Datos!K17+Datos!AE17-(Datos!U17+Datos!AM17))/(Datos!U17+Datos!AM17))," - ")</f>
        <v>0.15151515151515152</v>
      </c>
      <c r="E17" s="456">
        <f>IF(ISNUMBER(
   IF(D_I="SI",(Datos!L17-Datos!V17)/Datos!V17,(Datos!L17+Datos!AF17-(Datos!V17+Datos!AN17))/(Datos!V17+Datos!AN17))
     ),IF(D_I="SI",(Datos!L17-Datos!V17)/Datos!V17,(Datos!L17+Datos!AF17-(Datos!V17+Datos!AN17))/(Datos!V17+Datos!AN17))," - ")</f>
        <v>-5.8139534883720929E-3</v>
      </c>
      <c r="F17" s="456">
        <f>IF(ISNUMBER((Datos!M17-Datos!W17)/Datos!W17),(Datos!M17-Datos!W17)/Datos!W17," - ")</f>
        <v>0.5</v>
      </c>
      <c r="G17" s="457">
        <f>IF(ISNUMBER((Datos!N17-Datos!X17)/Datos!X17),(Datos!N17-Datos!X17)/Datos!X17," - ")</f>
        <v>0.64179104477611937</v>
      </c>
      <c r="H17" s="455">
        <f>IF(ISNUMBER(((NºAsuntos!G17/NºAsuntos!E17)-Datos!BD17)/Datos!BD17),((NºAsuntos!G17/NºAsuntos!E17)-Datos!BD17)/Datos!BD17," - ")</f>
        <v>0.15777338603425553</v>
      </c>
      <c r="I17" s="456">
        <f>IF(ISNUMBER(((NºAsuntos!I17/NºAsuntos!G17)-Datos!BE17)/Datos!BE17),((NºAsuntos!I17/NºAsuntos!G17)-Datos!BE17)/Datos!BE17," - ")</f>
        <v>-0.13662790697674421</v>
      </c>
      <c r="J17" s="461">
        <f>IF(ISNUMBER((('Resol  Asuntos'!D17/NºAsuntos!G17)-Datos!BF17)/Datos!BF17),(('Resol  Asuntos'!D17/NºAsuntos!G17)-Datos!BF17)/Datos!BF17," - ")</f>
        <v>0.30263157894736847</v>
      </c>
      <c r="K17" s="462">
        <f>IF(ISNUMBER((((NºAsuntos!C17+NºAsuntos!E17)/NºAsuntos!G17)-Datos!BG17)/Datos!BG17),(((NºAsuntos!C17+NºAsuntos!E17)/NºAsuntos!G17)-Datos!BG17)/Datos!BG17," - ")</f>
        <v>-8.7640977443608922E-2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0.66005291005291</v>
      </c>
      <c r="C18" s="855">
        <f>IF(ISNUMBER(
   IF(Criterios!B14="SI",(Datos!J18-Datos!T18)/Datos!T18,(Datos!J18+Datos!AD18-(Datos!T18+Datos!AL18))/(Datos!T18+Datos!AL18))
     ),IF(Criterios!B14="SI",(Datos!J18-Datos!T18)/Datos!T18,(Datos!J18+Datos!AD18-(Datos!T18+Datos!AL18))/(Datos!T18+Datos!AL18))," - ")</f>
        <v>0.29729729729729731</v>
      </c>
      <c r="D18" s="855">
        <f>IF(ISNUMBER(
   IF(Criterios!B14="SI",(Datos!K18-Datos!U18)/Datos!U18,(Datos!K18+Datos!AE18-(Datos!U18+Datos!AM18))/(Datos!U18+Datos!AM18))
     ),IF(Criterios!B14="SI",(Datos!K18-Datos!U18)/Datos!U18,(Datos!K18+Datos!AE18-(Datos!U18+Datos!AM18))/(Datos!U18+Datos!AM18))," - ")</f>
        <v>0.81144781144781142</v>
      </c>
      <c r="E18" s="855">
        <f>IF(ISNUMBER(
   IF(Criterios!B14="SI",(Datos!L18-Datos!V18)/Datos!V18,(Datos!L18+Datos!AF18-(Datos!V18+Datos!AN18))/(Datos!V18+Datos!AN18))
     ),IF(Criterios!B14="SI",(Datos!L18-Datos!V18)/Datos!V18,(Datos!L18+Datos!AF18-(Datos!V18+Datos!AN18))/(Datos!V18+Datos!AN18))," - ")</f>
        <v>0.32400430570505923</v>
      </c>
      <c r="F18" s="856">
        <f>IF(ISNUMBER((Datos!M18-Datos!W18)/Datos!W18),(Datos!M18-Datos!W18)/Datos!W18," - ")</f>
        <v>1.8484848484848484</v>
      </c>
      <c r="G18" s="857">
        <f>IF(ISNUMBER((Datos!N18-Datos!X18)/Datos!X18),(Datos!N18-Datos!X18)/Datos!X18," - ")</f>
        <v>0.53436807095343686</v>
      </c>
      <c r="H18" s="857">
        <f>IF(ISNUMBER(((NºAsuntos!G18/NºAsuntos!E18)-Datos!BD18)/Datos!BD18),((NºAsuntos!G18/NºAsuntos!E18)-Datos!BD18)/Datos!BD18," - ")</f>
        <v>0.396324354657688</v>
      </c>
      <c r="I18" s="857">
        <f>IF(ISNUMBER(((NºAsuntos!I18/NºAsuntos!G18)-Datos!BE18)/Datos!BE18),((NºAsuntos!I18/NºAsuntos!G18)-Datos!BE18)/Datos!BE18," - ")</f>
        <v>-0.26909055986170527</v>
      </c>
      <c r="J18" s="857">
        <f>IF(ISNUMBER((('Resol  Asuntos'!D18/NºAsuntos!G18)-Datos!BF18)/Datos!BF18),(('Resol  Asuntos'!D18/NºAsuntos!G18)-Datos!BF18)/Datos!BF18," - ")</f>
        <v>0.57249070631970278</v>
      </c>
      <c r="K18" s="857">
        <f>IF(ISNUMBER((((NºAsuntos!C18+NºAsuntos!E18)/NºAsuntos!G18)-Datos!BG18)/Datos!BG18),(((NºAsuntos!C18+NºAsuntos!E18)/NºAsuntos!G18)-Datos!BG18)/Datos!BG18," - ")</f>
        <v>-0.17152355685967366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0.34012597258243793</v>
      </c>
      <c r="C19" s="802">
        <f>IF(ISNUMBER(
   IF(J_V="SI",(Datos!J19-Datos!T19)/Datos!T19,(Datos!J19+Datos!Z19-(Datos!T19+Datos!AH19))/(Datos!T19+Datos!AH19))
     ),IF(J_V="SI",(Datos!J19-Datos!T19)/Datos!T19,(Datos!J19+Datos!Z19-(Datos!T19+Datos!AH19))/(Datos!T19+Datos!AH19))," - ")</f>
        <v>0.68332108743570907</v>
      </c>
      <c r="D19" s="802">
        <f>IF(ISNUMBER(
   IF(J_V="SI",(Datos!K19-Datos!U19)/Datos!U19,(Datos!K19+Datos!AA19-(Datos!U19+Datos!AI19))/(Datos!U19+Datos!AI19))
     ),IF(J_V="SI",(Datos!K19-Datos!U19)/Datos!U19,(Datos!K19+Datos!AA19-(Datos!U19+Datos!AI19))/(Datos!U19+Datos!AI19))," - ")</f>
        <v>1.0788530465949822</v>
      </c>
      <c r="E19" s="802">
        <f>IF(ISNUMBER(
   IF(J_V="SI",(Datos!L19-Datos!V19)/Datos!V19,(Datos!L19+Datos!AB19-(Datos!V19+Datos!AJ19))/(Datos!V19+Datos!AJ19))
     ),IF(J_V="SI",(Datos!L19-Datos!V19)/Datos!V19,(Datos!L19+Datos!AB19-(Datos!V19+Datos!AJ19))/(Datos!V19+Datos!AJ19))," - ")</f>
        <v>0.2206031853608946</v>
      </c>
      <c r="F19" s="803">
        <f>IF(ISNUMBER((Datos!M19-Datos!W19)/Datos!W19),(Datos!M19-Datos!W19)/Datos!W19," - ")</f>
        <v>1.3191011235955057</v>
      </c>
      <c r="G19" s="804">
        <f>IF(ISNUMBER((Datos!N19-Datos!X19)/Datos!X19),(Datos!N19-Datos!X19)/Datos!X19," - ")</f>
        <v>0.86763285024154591</v>
      </c>
      <c r="H19" s="805">
        <f>IF(ISNUMBER((Tasas!B19-Datos!BD19)/Datos!BD19),(Tasas!B19-Datos!BD19)/Datos!BD19," - ")</f>
        <v>0.2349711900548978</v>
      </c>
      <c r="I19" s="806">
        <f>IF(ISNUMBER((Tasas!C19-Datos!BE19)/Datos!BE19),(Tasas!C19-Datos!BE19)/Datos!BE19," - ")</f>
        <v>-0.41284777807639722</v>
      </c>
      <c r="J19" s="807">
        <f>IF(ISNUMBER((Tasas!D19-Datos!BF19)/Datos!BF19),(Tasas!D19-Datos!BF19)/Datos!BF19," - ")</f>
        <v>-0.25684493082799914</v>
      </c>
      <c r="K19" s="807">
        <f>IF(ISNUMBER((Tasas!E19-Datos!BG19)/Datos!BG19),(Tasas!E19-Datos!BG19)/Datos!BG19," - ")</f>
        <v>-0.30001189060642097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Mu3HmA7I+PZ19pDe3QHNy8Y7WTFA3w8hOfXyMeh6Y85DbZwLRntDHSkWq8fgIoZqS06Sa8wqxoAaB7Mm63alg==" saltValue="bqBgRti7miEaWk3yCoKC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OURENSE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0.96415770609318996</v>
      </c>
      <c r="C9" s="443">
        <f>IF(ISNUMBER(NºAsuntos!I9/NºAsuntos!G9),NºAsuntos!I9/NºAsuntos!G9," - ")</f>
        <v>1.5171416769929782</v>
      </c>
      <c r="D9" s="444">
        <f>IF(ISNUMBER('Resol  Asuntos'!D9/NºAsuntos!G9),'Resol  Asuntos'!D9/NºAsuntos!G9," - ")</f>
        <v>0.27674514663362249</v>
      </c>
      <c r="E9" s="445">
        <f>IF(ISNUMBER((NºAsuntos!C9+NºAsuntos!E9)/NºAsuntos!G9),(NºAsuntos!C9+NºAsuntos!E9)/NºAsuntos!G9," - ")</f>
        <v>2.5171416769929782</v>
      </c>
      <c r="G9" s="463"/>
    </row>
    <row r="10" spans="1:7">
      <c r="A10" s="402" t="str">
        <f>Datos!A10</f>
        <v>Jdos. Violencia contra la mujer</v>
      </c>
      <c r="B10" s="442">
        <f>IF(ISNUMBER(NºAsuntos!G10/NºAsuntos!E10),NºAsuntos!G10/NºAsuntos!E10," - ")</f>
        <v>0.84375</v>
      </c>
      <c r="C10" s="443">
        <f>IF(ISNUMBER(NºAsuntos!I10/NºAsuntos!G10),NºAsuntos!I10/NºAsuntos!G10," - ")</f>
        <v>2.2962962962962963</v>
      </c>
      <c r="D10" s="444">
        <f>IF(ISNUMBER('Resol  Asuntos'!D10/NºAsuntos!G10),'Resol  Asuntos'!D10/NºAsuntos!G10," - ")</f>
        <v>0.25925925925925924</v>
      </c>
      <c r="E10" s="445">
        <f>IF(ISNUMBER((NºAsuntos!C10+NºAsuntos!E10)/NºAsuntos!G10),(NºAsuntos!C10+NºAsuntos!E10)/NºAsuntos!G10," - ")</f>
        <v>3.2962962962962963</v>
      </c>
      <c r="G10" s="463"/>
    </row>
    <row r="11" spans="1:7">
      <c r="A11" s="402" t="str">
        <f>Datos!A11</f>
        <v xml:space="preserve">Jdos. Familia                                   </v>
      </c>
      <c r="B11" s="442">
        <f>IF(ISNUMBER(NºAsuntos!G11/NºAsuntos!E11),NºAsuntos!G11/NºAsuntos!E11," - ")</f>
        <v>1.1491053677932406</v>
      </c>
      <c r="C11" s="443">
        <f>IF(ISNUMBER(NºAsuntos!I11/NºAsuntos!G11),NºAsuntos!I11/NºAsuntos!G11," - ")</f>
        <v>1.7456747404844291</v>
      </c>
      <c r="D11" s="444">
        <f>IF(ISNUMBER('Resol  Asuntos'!D11/NºAsuntos!G11),'Resol  Asuntos'!D11/NºAsuntos!G11," - ")</f>
        <v>0.12629757785467127</v>
      </c>
      <c r="E11" s="445">
        <f>IF(ISNUMBER((NºAsuntos!C11+NºAsuntos!E11)/NºAsuntos!G11),(NºAsuntos!C11+NºAsuntos!E11)/NºAsuntos!G11," - ")</f>
        <v>2.7456747404844291</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0.99343401181877877</v>
      </c>
      <c r="C13" s="859">
        <f>IF(ISNUMBER(NºAsuntos!I13/NºAsuntos!G13),NºAsuntos!I13/NºAsuntos!G13," - ")</f>
        <v>1.567746199603437</v>
      </c>
      <c r="D13" s="860">
        <f>IF(ISNUMBER('Resol  Asuntos'!D13/NºAsuntos!G13),'Resol  Asuntos'!D13/NºAsuntos!G13," - ")</f>
        <v>0.2478519497686715</v>
      </c>
      <c r="E13" s="861">
        <f>IF(ISNUMBER((NºAsuntos!C13+NºAsuntos!E13)/NºAsuntos!G13),(NºAsuntos!C13+NºAsuntos!E13)/NºAsuntos!G13," - ")</f>
        <v>2.567746199603437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1.0532544378698225</v>
      </c>
      <c r="C15" s="443">
        <f>IF(ISNUMBER(NºAsuntos!I15/NºAsuntos!G15),NºAsuntos!I15/NºAsuntos!G15," - ")</f>
        <v>1.6067415730337078</v>
      </c>
      <c r="D15" s="444">
        <f>IF(ISNUMBER('Resol  Asuntos'!D15/NºAsuntos!G15),'Resol  Asuntos'!D15/NºAsuntos!G15," - ")</f>
        <v>0.18117977528089887</v>
      </c>
      <c r="E15" s="445">
        <f>IF(ISNUMBER((NºAsuntos!C15+NºAsuntos!E15)/NºAsuntos!G15),(NºAsuntos!C15+NºAsuntos!E15)/NºAsuntos!G15," - ")</f>
        <v>2.5926966292134832</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1.0326086956521738</v>
      </c>
      <c r="C17" s="443">
        <f>IF(ISNUMBER(NºAsuntos!I17/NºAsuntos!G17),NºAsuntos!I17/NºAsuntos!G17," - ")</f>
        <v>0.9</v>
      </c>
      <c r="D17" s="444">
        <f>IF(ISNUMBER('Resol  Asuntos'!D17/NºAsuntos!G17),'Resol  Asuntos'!D17/NºAsuntos!G17," - ")</f>
        <v>0.12631578947368421</v>
      </c>
      <c r="E17" s="445">
        <f>IF(ISNUMBER((NºAsuntos!C17+NºAsuntos!E17)/NºAsuntos!G17),(NºAsuntos!C17+NºAsuntos!E17)/NºAsuntos!G17," - ")</f>
        <v>1.8578947368421053</v>
      </c>
      <c r="G17" s="463"/>
    </row>
    <row r="18" spans="1:7" ht="14.25" thickTop="1" thickBot="1">
      <c r="A18" s="848" t="str">
        <f>Datos!A18</f>
        <v>TOTAL</v>
      </c>
      <c r="B18" s="858">
        <f>IF(ISNUMBER(NºAsuntos!G18/NºAsuntos!E18),NºAsuntos!G18/NºAsuntos!E18," - ")</f>
        <v>1.05078125</v>
      </c>
      <c r="C18" s="859">
        <f>IF(ISNUMBER(NºAsuntos!I18/NºAsuntos!G18),NºAsuntos!I18/NºAsuntos!G18," - ")</f>
        <v>1.5241635687732342</v>
      </c>
      <c r="D18" s="862">
        <f>IF(ISNUMBER('Resol  Asuntos'!D18/NºAsuntos!G18),'Resol  Asuntos'!D18/NºAsuntos!G18," - ")</f>
        <v>0.17472118959107807</v>
      </c>
      <c r="E18" s="861">
        <f>IF(ISNUMBER((NºAsuntos!C18+NºAsuntos!E18)/NºAsuntos!G18),(NºAsuntos!C18+NºAsuntos!E18)/NºAsuntos!G18," - ")</f>
        <v>2.5068153655514251</v>
      </c>
      <c r="G18" s="463"/>
    </row>
    <row r="19" spans="1:7" ht="15.75" customHeight="1" thickTop="1" thickBot="1">
      <c r="A19" s="793" t="str">
        <f>Datos!A19</f>
        <v>TOTAL JURISDICCIONES</v>
      </c>
      <c r="B19" s="808">
        <f>IF(ISNUMBER(NºAsuntos!G19/NºAsuntos!E19),NºAsuntos!G19/NºAsuntos!E19," - ")</f>
        <v>1.0126582278481013</v>
      </c>
      <c r="C19" s="809">
        <f>IF(ISNUMBER(NºAsuntos!I19/NºAsuntos!G19),NºAsuntos!I19/NºAsuntos!G19," - ")</f>
        <v>1.5525862068965517</v>
      </c>
      <c r="D19" s="810">
        <f>IF(ISNUMBER('Resol  Asuntos'!D19/NºAsuntos!G19),'Resol  Asuntos'!D19/NºAsuntos!G19," - ")</f>
        <v>0.22241379310344828</v>
      </c>
      <c r="E19" s="811">
        <f>IF(ISNUMBER((NºAsuntos!C19+NºAsuntos!E19)/NºAsuntos!G19),(NºAsuntos!C19+NºAsuntos!E19)/NºAsuntos!G19," - ")</f>
        <v>2.546551724137931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uanXynDjZb82UyBUvFGsGBsZveq9PC7DUqbm2UmAvWu7IMsAFxWBj6WP0GAJv68YQavOkI8i/b4QSBwxZ3Dg==" saltValue="gT9uZHvzfEGMOjUq8Qry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OURENSE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579</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830</v>
      </c>
      <c r="AX5" s="1256" t="s">
        <v>321</v>
      </c>
      <c r="AY5" s="1256" t="s">
        <v>744</v>
      </c>
      <c r="AZ5" s="1256" t="s">
        <v>745</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472</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255</v>
      </c>
      <c r="Y9" s="334">
        <f>SUM(W9:X9)</f>
        <v>255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7503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670</v>
      </c>
      <c r="AJ9" s="229" t="str">
        <f>IF(ISNUMBER(Datos!BW9),Datos!BW9," - ")</f>
        <v xml:space="preserve"> - </v>
      </c>
      <c r="AK9" s="228" t="str">
        <f>IF(ISNUMBER(Datos!BX9),Datos!BX9," - ")</f>
        <v xml:space="preserve"> - </v>
      </c>
      <c r="AL9" s="243">
        <f>IF(ISNUMBER(NºAsuntos!G9/NºAsuntos!E9),NºAsuntos!G9/NºAsuntos!E9," - ")</f>
        <v>0.96415770609318996</v>
      </c>
      <c r="AM9" s="260">
        <f>IF(ISNUMBER(((NºAsuntos!I9/NºAsuntos!G9)*11)/factor_trimestre),((NºAsuntos!I9/NºAsuntos!G9)*11)/factor_trimestre," - ")</f>
        <v>4.5514250309789341</v>
      </c>
      <c r="AN9" s="244">
        <f>IF(ISNUMBER('Resol  Asuntos'!D9/NºAsuntos!G9),'Resol  Asuntos'!D9/NºAsuntos!G9," - ")</f>
        <v>0.27674514663362249</v>
      </c>
      <c r="AO9" s="245">
        <f>IF(ISNUMBER((NºAsuntos!C9+NºAsuntos!E9)/NºAsuntos!G9),(NºAsuntos!C9+NºAsuntos!E9)/NºAsuntos!G9," - ")</f>
        <v>2.5171416769929782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57</v>
      </c>
      <c r="G10" s="333">
        <f>IF(ISNUMBER(Datos!I10),Datos!I10," - ")</f>
        <v>57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27</v>
      </c>
      <c r="X10" s="226">
        <f>IF(ISNUMBER(Datos!Q10),Datos!Q10," - ")</f>
        <v>5</v>
      </c>
      <c r="Y10" s="334">
        <f t="shared" ref="Y10:Y12" si="0">SUM(W10:X10)</f>
        <v>32</v>
      </c>
      <c r="Z10" s="335" t="str">
        <f>IF(ISNUMBER(Datos!CC10),Datos!CC10," - ")</f>
        <v xml:space="preserve"> - </v>
      </c>
      <c r="AA10" s="332">
        <f>IF(ISNUMBER(Datos!L10),Datos!L10,"-")</f>
        <v>62</v>
      </c>
      <c r="AB10" s="334">
        <f>IF(ISNUMBER(Datos!R10),Datos!R10," - ")</f>
        <v>70</v>
      </c>
      <c r="AC10" s="334">
        <f t="shared" ref="AC10:AC12" si="1">IF(ISNUMBER(AA10+AB10),AA10+AB10," - ")</f>
        <v>132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0.84375</v>
      </c>
      <c r="AM10" s="260">
        <f>IF(ISNUMBER(((NºAsuntos!I10/NºAsuntos!G10)*11)/factor_trimestre),((NºAsuntos!I10/NºAsuntos!G10)*11)/factor_trimestre," - ")</f>
        <v>6.8888888888888893</v>
      </c>
      <c r="AN10" s="244">
        <f>IF(ISNUMBER('Resol  Asuntos'!D10/NºAsuntos!G10),'Resol  Asuntos'!D10/NºAsuntos!G10," - ")</f>
        <v>0.25925925925925924</v>
      </c>
      <c r="AO10" s="245">
        <f>IF(ISNUMBER((NºAsuntos!C10+NºAsuntos!E10)/NºAsuntos!G10),(NºAsuntos!C10+NºAsuntos!E10)/NºAsuntos!G10," - ")</f>
        <v>3.2962962962962963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246</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23</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50</v>
      </c>
      <c r="Y11" s="334">
        <f t="shared" si="0"/>
        <v>50</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359</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73</v>
      </c>
      <c r="AJ11" s="231" t="str">
        <f>IF(ISNUMBER(Datos!BW11),Datos!BW11," - ")</f>
        <v xml:space="preserve"> - </v>
      </c>
      <c r="AK11" s="232" t="str">
        <f>IF(ISNUMBER(Datos!BX11),Datos!BX11," - ")</f>
        <v xml:space="preserve"> - </v>
      </c>
      <c r="AL11" s="243">
        <f>IF(ISNUMBER(NºAsuntos!G11/NºAsuntos!E11),NºAsuntos!G11/NºAsuntos!E11," - ")</f>
        <v>1.1491053677932406</v>
      </c>
      <c r="AM11" s="260">
        <f>IF(ISNUMBER(((NºAsuntos!I11/NºAsuntos!G11)*11)/factor_trimestre),((NºAsuntos!I11/NºAsuntos!G11)*11)/factor_trimestre," - ")</f>
        <v>5.2370242214532867</v>
      </c>
      <c r="AN11" s="244">
        <f>IF(ISNUMBER('Resol  Asuntos'!D11/NºAsuntos!G11),'Resol  Asuntos'!D11/NºAsuntos!G11," - ")</f>
        <v>0.12629757785467127</v>
      </c>
      <c r="AO11" s="245">
        <f>IF(ISNUMBER((NºAsuntos!C11+NºAsuntos!E11)/NºAsuntos!G11),(NºAsuntos!C11+NºAsuntos!E11)/NºAsuntos!G11," - ")</f>
        <v>2.7456747404844291</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57</v>
      </c>
      <c r="G13" s="866">
        <f t="shared" si="3"/>
        <v>57</v>
      </c>
      <c r="H13" s="865">
        <f t="shared" si="3"/>
        <v>0</v>
      </c>
      <c r="I13" s="867">
        <f t="shared" si="3"/>
        <v>0</v>
      </c>
      <c r="J13" s="867">
        <f t="shared" si="3"/>
        <v>0</v>
      </c>
      <c r="K13" s="867">
        <f t="shared" si="3"/>
        <v>0</v>
      </c>
      <c r="L13" s="867">
        <f t="shared" si="3"/>
        <v>497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27</v>
      </c>
      <c r="X13" s="867">
        <f t="shared" si="4"/>
        <v>310</v>
      </c>
      <c r="Y13" s="868">
        <f t="shared" si="4"/>
        <v>337</v>
      </c>
      <c r="Z13" s="868">
        <f t="shared" si="4"/>
        <v>0</v>
      </c>
      <c r="AA13" s="868">
        <f t="shared" si="4"/>
        <v>62</v>
      </c>
      <c r="AB13" s="868">
        <f t="shared" si="4"/>
        <v>7932</v>
      </c>
      <c r="AC13" s="868">
        <f t="shared" si="4"/>
        <v>132</v>
      </c>
      <c r="AD13" s="868">
        <f t="shared" si="4"/>
        <v>0</v>
      </c>
      <c r="AE13" s="872">
        <f t="shared" si="4"/>
        <v>0</v>
      </c>
      <c r="AF13" s="865">
        <f t="shared" si="4"/>
        <v>0</v>
      </c>
      <c r="AG13" s="873">
        <f t="shared" si="4"/>
        <v>0</v>
      </c>
      <c r="AH13" s="870">
        <f t="shared" si="4"/>
        <v>0</v>
      </c>
      <c r="AI13" s="865">
        <f t="shared" si="4"/>
        <v>750</v>
      </c>
      <c r="AJ13" s="867">
        <f t="shared" si="4"/>
        <v>0</v>
      </c>
      <c r="AK13" s="870">
        <f>SUBTOTAL(9,AK9:AK12)</f>
        <v>0</v>
      </c>
      <c r="AL13" s="874">
        <f>IF(ISNUMBER(NºAsuntos!G13/NºAsuntos!E13),NºAsuntos!G13/NºAsuntos!E13," - ")</f>
        <v>0.99343401181877877</v>
      </c>
      <c r="AM13" s="874">
        <f>IF(ISNUMBER(((NºAsuntos!I13/NºAsuntos!G13)*11)/factor_trimestre),((NºAsuntos!I13/NºAsuntos!G13)*11)/factor_trimestre," - ")</f>
        <v>4.7032385988103114</v>
      </c>
      <c r="AN13" s="875">
        <f>IF(ISNUMBER('Resol  Asuntos'!D13/NºAsuntos!G13),'Resol  Asuntos'!D13/NºAsuntos!G13," - ")</f>
        <v>0.2478519497686715</v>
      </c>
      <c r="AO13" s="876">
        <f>IF(ISNUMBER((NºAsuntos!C13+NºAsuntos!E13)/NºAsuntos!G13),(NºAsuntos!C13+NºAsuntos!E13)/NºAsuntos!G13," - ")</f>
        <v>2.567746199603437</v>
      </c>
      <c r="AP13" s="877" t="str">
        <f t="shared" si="2"/>
        <v xml:space="preserve"> - </v>
      </c>
      <c r="AQ13" s="877">
        <f>IF(ISNUMBER((H13-W13+K13)/(F13)),(H13-W13+K13)/(F13)," - ")</f>
        <v>-0.47368421052631576</v>
      </c>
      <c r="AR13" s="878">
        <f>IF(ISNUMBER((Datos!P13-Datos!Q13)/(Datos!R13-Datos!P13+Datos!Q13)),(Datos!P13-Datos!Q13)/(Datos!R13-Datos!P13+Datos!Q13)," - ")</f>
        <v>2.4144609425435764E-2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2360</v>
      </c>
      <c r="G15" s="333">
        <f>IF(ISNUMBER(IF(D_I="SI",Datos!I15,Datos!I15+Datos!AC15)),IF(D_I="SI",Datos!I15,Datos!I15+Datos!AC15)," - ")</f>
        <v>2340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67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1424</v>
      </c>
      <c r="X15" s="226">
        <f>IF(ISNUMBER(Datos!Q15),Datos!Q15," - ")</f>
        <v>68</v>
      </c>
      <c r="Y15" s="334">
        <f>SUM(W15)</f>
        <v>1424</v>
      </c>
      <c r="Z15" s="335" t="str">
        <f>IF(ISNUMBER(Datos!CC15),Datos!CC15," - ")</f>
        <v xml:space="preserve"> - </v>
      </c>
      <c r="AA15" s="332">
        <f>IF(ISNUMBER(IF(D_I="SI",Datos!L15,Datos!L15+Datos!AF15)),IF(D_I="SI",Datos!L15,Datos!L15+Datos!AF15)," - ")</f>
        <v>2288</v>
      </c>
      <c r="AB15" s="334">
        <f>IF(ISNUMBER(Datos!R15),Datos!R15," - ")</f>
        <v>163</v>
      </c>
      <c r="AC15" s="334">
        <f t="shared" ref="AC15:AC17" si="6">IF(ISNUMBER(AA15+AB15),AA15+AB15," - ")</f>
        <v>2451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258</v>
      </c>
      <c r="AJ15" s="231" t="str">
        <f>IF(ISNUMBER(Datos!BW15),Datos!BW15," - ")</f>
        <v xml:space="preserve"> - </v>
      </c>
      <c r="AK15" s="232" t="str">
        <f>IF(ISNUMBER(Datos!BX15),Datos!BX15," - ")</f>
        <v xml:space="preserve"> - </v>
      </c>
      <c r="AL15" s="243">
        <f>IF(ISNUMBER(NºAsuntos!G15/NºAsuntos!E15),NºAsuntos!G15/NºAsuntos!E15," - ")</f>
        <v>1.0532544378698225</v>
      </c>
      <c r="AM15" s="260">
        <f>IF(ISNUMBER(((NºAsuntos!I15/NºAsuntos!G15)*11)/factor_trimestre),((NºAsuntos!I15/NºAsuntos!G15)*11)/factor_trimestre," - ")</f>
        <v>4.820224719101124</v>
      </c>
      <c r="AN15" s="244">
        <f>IF(ISNUMBER('Resol  Asuntos'!D15/NºAsuntos!G15),'Resol  Asuntos'!D15/NºAsuntos!G15," - ")</f>
        <v>0.18117977528089887</v>
      </c>
      <c r="AO15" s="245">
        <f>IF(ISNUMBER((NºAsuntos!C15+NºAsuntos!E15)/NºAsuntos!G15),(NºAsuntos!C15+NºAsuntos!E15)/NºAsuntos!G15," - ")</f>
        <v>2.5926966292134832</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1</v>
      </c>
      <c r="G16" s="333">
        <f>IF(ISNUMBER(IF(D_I="SI",Datos!I16,Datos!I16+Datos!AC16)),IF(D_I="SI",Datos!I16,Datos!I16+Datos!AC16)," - ")</f>
        <v>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1</v>
      </c>
      <c r="AB16" s="334">
        <f>IF(ISNUMBER(Datos!R16),Datos!R16," - ")</f>
        <v>0</v>
      </c>
      <c r="AC16" s="334">
        <f t="shared" si="6"/>
        <v>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190</v>
      </c>
      <c r="X17" s="226">
        <f>IF(ISNUMBER(Datos!Q17),Datos!Q17," - ")</f>
        <v>2</v>
      </c>
      <c r="Y17" s="334">
        <f t="shared" si="7"/>
        <v>192</v>
      </c>
      <c r="Z17" s="335" t="str">
        <f>IF(ISNUMBER(Datos!CC17),Datos!CC17," - ")</f>
        <v xml:space="preserve"> - </v>
      </c>
      <c r="AA17" s="332">
        <f>IF(ISNUMBER(Datos!L17),Datos!L17,"-")</f>
        <v>171</v>
      </c>
      <c r="AB17" s="334">
        <f>IF(ISNUMBER(Datos!R17),Datos!R17," - ")</f>
        <v>4</v>
      </c>
      <c r="AC17" s="334">
        <f t="shared" si="6"/>
        <v>175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24</v>
      </c>
      <c r="AJ17" s="231" t="str">
        <f>IF(ISNUMBER(Datos!BW17),Datos!BW17," - ")</f>
        <v xml:space="preserve"> - </v>
      </c>
      <c r="AK17" s="232" t="str">
        <f>IF(ISNUMBER(Datos!BX17),Datos!BX17," - ")</f>
        <v xml:space="preserve"> - </v>
      </c>
      <c r="AL17" s="243">
        <f>IF(ISNUMBER(NºAsuntos!G17/NºAsuntos!E17),NºAsuntos!G17/NºAsuntos!E17," - ")</f>
        <v>1.0326086956521738</v>
      </c>
      <c r="AM17" s="260">
        <f>IF(ISNUMBER(((NºAsuntos!I17/NºAsuntos!G17)*11)/factor_trimestre),((NºAsuntos!I17/NºAsuntos!G17)*11)/factor_trimestre," - ")</f>
        <v>2.7</v>
      </c>
      <c r="AN17" s="244">
        <f>IF(ISNUMBER('Resol  Asuntos'!D17/NºAsuntos!G17),'Resol  Asuntos'!D17/NºAsuntos!G17," - ")</f>
        <v>0.12631578947368421</v>
      </c>
      <c r="AO17" s="245">
        <f>IF(ISNUMBER((NºAsuntos!C17+NºAsuntos!E17)/NºAsuntos!G17),(NºAsuntos!C17+NºAsuntos!E17)/NºAsuntos!G17," - ")</f>
        <v>1.8578947368421053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2361</v>
      </c>
      <c r="G18" s="866">
        <f>SUBTOTAL(9,G15:G17)</f>
        <v>2510</v>
      </c>
      <c r="H18" s="865">
        <f t="shared" ref="H18:O18" si="10">SUBTOTAL(9,H14:H17)</f>
        <v>0</v>
      </c>
      <c r="I18" s="867">
        <f t="shared" si="10"/>
        <v>0</v>
      </c>
      <c r="J18" s="867">
        <f t="shared" si="10"/>
        <v>0</v>
      </c>
      <c r="K18" s="867">
        <f t="shared" si="10"/>
        <v>0</v>
      </c>
      <c r="L18" s="867">
        <f t="shared" si="10"/>
        <v>69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1614</v>
      </c>
      <c r="X18" s="867">
        <f t="shared" si="11"/>
        <v>70</v>
      </c>
      <c r="Y18" s="868">
        <f t="shared" si="11"/>
        <v>1616</v>
      </c>
      <c r="Z18" s="868">
        <f t="shared" si="11"/>
        <v>0</v>
      </c>
      <c r="AA18" s="868">
        <f t="shared" si="11"/>
        <v>2460</v>
      </c>
      <c r="AB18" s="868">
        <f t="shared" si="11"/>
        <v>167</v>
      </c>
      <c r="AC18" s="868">
        <f t="shared" si="11"/>
        <v>2627</v>
      </c>
      <c r="AD18" s="868">
        <f t="shared" si="11"/>
        <v>0</v>
      </c>
      <c r="AE18" s="872">
        <f t="shared" si="11"/>
        <v>0</v>
      </c>
      <c r="AF18" s="865">
        <f t="shared" si="11"/>
        <v>0</v>
      </c>
      <c r="AG18" s="873">
        <f t="shared" si="11"/>
        <v>0</v>
      </c>
      <c r="AH18" s="870">
        <f t="shared" si="11"/>
        <v>0</v>
      </c>
      <c r="AI18" s="865">
        <f t="shared" si="11"/>
        <v>282</v>
      </c>
      <c r="AJ18" s="867">
        <f t="shared" si="11"/>
        <v>0</v>
      </c>
      <c r="AK18" s="870">
        <f t="shared" si="11"/>
        <v>0</v>
      </c>
      <c r="AL18" s="874">
        <f>IF(ISNUMBER(NºAsuntos!G18/NºAsuntos!E18),NºAsuntos!G18/NºAsuntos!E18," - ")</f>
        <v>1.05078125</v>
      </c>
      <c r="AM18" s="874">
        <f>IF(ISNUMBER(((NºAsuntos!I18/NºAsuntos!G18)*11)/factor_trimestre),((NºAsuntos!I18/NºAsuntos!G18)*11)/factor_trimestre," - ")</f>
        <v>4.5724907063197033</v>
      </c>
      <c r="AN18" s="875">
        <f>IF(ISNUMBER('Resol  Asuntos'!D18/NºAsuntos!G18),'Resol  Asuntos'!D18/NºAsuntos!G18," - ")</f>
        <v>0.17472118959107807</v>
      </c>
      <c r="AO18" s="876">
        <f>IF(ISNUMBER((NºAsuntos!C18+NºAsuntos!E18)/NºAsuntos!G18),(NºAsuntos!C18+NºAsuntos!E18)/NºAsuntos!G18," - ")</f>
        <v>2.5068153655514251</v>
      </c>
      <c r="AP18" s="877" t="str">
        <f t="shared" si="2"/>
        <v xml:space="preserve"> - </v>
      </c>
      <c r="AQ18" s="877">
        <f>IF(ISNUMBER((H18-W18+K18)/(F18)),(H18-W18+K18)/(F18)," - ")</f>
        <v>-0.6836086404066074</v>
      </c>
      <c r="AR18" s="878">
        <f>IF(ISNUMBER((Datos!P18-Datos!Q18)/(Datos!R18-Datos!P18+Datos!Q18)),(Datos!P18-Datos!Q18)/(Datos!R18-Datos!P18+Datos!Q18)," - ")</f>
        <v>-5.9523809523809521E-3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2418</v>
      </c>
      <c r="G19" s="821">
        <f t="shared" si="13"/>
        <v>2567</v>
      </c>
      <c r="H19" s="820">
        <f t="shared" si="13"/>
        <v>0</v>
      </c>
      <c r="I19" s="822">
        <f t="shared" si="13"/>
        <v>0</v>
      </c>
      <c r="J19" s="822">
        <f t="shared" si="13"/>
        <v>0</v>
      </c>
      <c r="K19" s="881">
        <f t="shared" si="13"/>
        <v>0</v>
      </c>
      <c r="L19" s="822">
        <f t="shared" si="13"/>
        <v>566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1641</v>
      </c>
      <c r="X19" s="821">
        <f t="shared" si="14"/>
        <v>380</v>
      </c>
      <c r="Y19" s="828">
        <f t="shared" si="14"/>
        <v>1953</v>
      </c>
      <c r="Z19" s="828">
        <f t="shared" si="14"/>
        <v>0</v>
      </c>
      <c r="AA19" s="828">
        <f t="shared" si="14"/>
        <v>2522</v>
      </c>
      <c r="AB19" s="828">
        <f t="shared" si="14"/>
        <v>8099</v>
      </c>
      <c r="AC19" s="828">
        <f t="shared" si="14"/>
        <v>2759</v>
      </c>
      <c r="AD19" s="828">
        <f t="shared" si="14"/>
        <v>0</v>
      </c>
      <c r="AE19" s="830">
        <f t="shared" si="14"/>
        <v>0</v>
      </c>
      <c r="AF19" s="831">
        <f t="shared" si="14"/>
        <v>0</v>
      </c>
      <c r="AG19" s="832">
        <f t="shared" si="14"/>
        <v>0</v>
      </c>
      <c r="AH19" s="830">
        <f t="shared" si="14"/>
        <v>0</v>
      </c>
      <c r="AI19" s="820">
        <f t="shared" si="14"/>
        <v>1032</v>
      </c>
      <c r="AJ19" s="820">
        <f t="shared" si="14"/>
        <v>0</v>
      </c>
      <c r="AK19" s="830">
        <f t="shared" si="14"/>
        <v>0</v>
      </c>
      <c r="AL19" s="884">
        <f>IF(ISNUMBER(NºAsuntos!G19/NºAsuntos!E19),NºAsuntos!G19/NºAsuntos!E19," - ")</f>
        <v>1.0126582278481013</v>
      </c>
      <c r="AM19" s="885">
        <f>IF(ISNUMBER(((NºAsuntos!I19/NºAsuntos!G19)*11)/factor_trimestre),((NºAsuntos!I19/NºAsuntos!G19)*11)/factor_trimestre," - ")</f>
        <v>4.6577586206896555</v>
      </c>
      <c r="AN19" s="885">
        <f>IF(ISNUMBER('Resol  Asuntos'!D19/NºAsuntos!G19),'Resol  Asuntos'!D19/NºAsuntos!G19," - ")</f>
        <v>0.22241379310344828</v>
      </c>
      <c r="AO19" s="886">
        <f>IF(ISNUMBER((NºAsuntos!C19+NºAsuntos!E19)/NºAsuntos!G19),(NºAsuntos!C19+NºAsuntos!E19)/NºAsuntos!G19," - ")</f>
        <v>2.546551724137931</v>
      </c>
      <c r="AP19" s="887" t="str">
        <f t="shared" si="2"/>
        <v xml:space="preserve"> - </v>
      </c>
      <c r="AQ19" s="888">
        <f>IF(OR(ISNUMBER(FIND("01",Criterios!A8,1)),ISNUMBER(FIND("02",Criterios!A8,1)),ISNUMBER(FIND("03",Criterios!A8,1)),ISNUMBER(FIND("04",Criterios!A8,1))),(I19-W19+K19)/(F19-K19),(H19-W19+K19)/(F19-K19))</f>
        <v>-0.67866004962779158</v>
      </c>
      <c r="AR19" s="889">
        <f>IF(ISNUMBER((Datos!P19-Datos!Q19)/(Datos!R19-Datos!P19+Datos!Q19)),(Datos!P19-Datos!Q19)/(Datos!R19-Datos!P19+Datos!Q19)," - ")</f>
        <v>2.3505623657272844E-2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855.66666666666663</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2.7284509239574835</v>
      </c>
      <c r="F21" s="252">
        <f>IF(ISNUMBER(STDEV(F8:F18)),STDEV(F8:F18),"-")</f>
        <v>1272.1085645494256</v>
      </c>
      <c r="G21" s="253">
        <f>IF(ISNUMBER(STDEV(G8:G18)),STDEV(G8:G18),"-")</f>
        <v>1218.0120962727203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758.29756692211527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300.22134691400134</v>
      </c>
      <c r="AJ21" s="252">
        <f t="shared" si="18"/>
        <v>0</v>
      </c>
      <c r="AK21" s="254">
        <f t="shared" si="18"/>
        <v>0</v>
      </c>
      <c r="AL21" s="249">
        <f t="shared" si="18"/>
        <v>9.431224063487223E-2</v>
      </c>
      <c r="AM21" s="250">
        <f t="shared" si="18"/>
        <v>1.2305469792333692</v>
      </c>
      <c r="AN21" s="250">
        <f t="shared" si="18"/>
        <v>6.2633324810691518E-2</v>
      </c>
      <c r="AO21" s="251">
        <f t="shared" si="18"/>
        <v>0.42259099946045836</v>
      </c>
      <c r="AP21" s="291" t="str">
        <f t="shared" si="18"/>
        <v>-</v>
      </c>
      <c r="AQ21" s="292">
        <f t="shared" si="18"/>
        <v>0.14843898790507393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LznJjym4O0boX4BrO7Rmxaq2CyvR8Hy4xZuLaQacaoE75b5nVI+dXEC1woU+UcJF8DE/JPEHRhBv2z7HMNDY1w==" saltValue="Rssqr5z2ACQTXo3Y4B396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OURENSE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1.7459016393442623</v>
      </c>
      <c r="I9" s="350">
        <f>IF(ISNUMBER((Tasas!C9-Datos!BE9)/Datos!BE9),(Tasas!C9-Datos!BE9)/Datos!BE9," - ")</f>
        <v>-0.557543317858608</v>
      </c>
      <c r="J9" s="349">
        <f>IF(ISNUMBER((Tasas!D9-Datos!BF9)/Datos!BF9),(Tasas!D9-Datos!BF9)/Datos!BF9," - ")</f>
        <v>-0.23650374337090643</v>
      </c>
      <c r="K9" s="351">
        <f>IF(ISNUMBER((Tasas!E9-Datos!BG9)/Datos!BG9),(Tasas!E9-Datos!BG9)/Datos!BG9," - ")</f>
        <v>-0.43165590556316435</v>
      </c>
      <c r="M9" t="e">
        <f>IF(Monitorios="SI",Datos!CE9,0)</f>
        <v>#REF!</v>
      </c>
      <c r="N9" t="e">
        <f>IF(Monitorios="SI",Datos!CF9,0)</f>
        <v>#REF!</v>
      </c>
      <c r="O9" t="e">
        <f>IF(Monitorios="SI",Datos!CG9,0)</f>
        <v>#REF!</v>
      </c>
      <c r="P9" t="e">
        <f>IF(Monitorios="SI",Datos!CH9,0)</f>
        <v>#REF!</v>
      </c>
      <c r="Q9">
        <f>IF(J_V="SI",0,Datos!AG9)</f>
        <v>112</v>
      </c>
      <c r="R9">
        <f>IF(J_V="SI",0,Datos!AH9)</f>
        <v>69</v>
      </c>
      <c r="S9">
        <f>IF(J_V="SI",0,Datos!AI9)</f>
        <v>54</v>
      </c>
      <c r="T9">
        <f>IF(J_V="SI",0,Datos!AJ9)</f>
        <v>127</v>
      </c>
    </row>
    <row r="10" spans="2:20" ht="14.25">
      <c r="B10" s="275" t="s">
        <v>246</v>
      </c>
      <c r="C10" s="7" t="str">
        <f>Datos!A10</f>
        <v>Jdos. Violencia contra la mujer</v>
      </c>
      <c r="D10" s="352">
        <f>IF(ISNUMBER((Datos!I10-Datos!S10)/Datos!S10),(Datos!I10-Datos!S10)/Datos!S10," - ")</f>
        <v>-0.12307692307692308</v>
      </c>
      <c r="E10" s="348">
        <f>IF(ISNUMBER((Datos!J10-Datos!T10)/Datos!T10),(Datos!J10-Datos!T10)/Datos!T10," - ")</f>
        <v>-0.21951219512195122</v>
      </c>
      <c r="F10" s="348">
        <f>IF(ISNUMBER((Datos!K10-Datos!U10)/Datos!U10),(Datos!K10-Datos!U10)/Datos!U10," - ")</f>
        <v>0.125</v>
      </c>
      <c r="G10" s="349">
        <f>IF(ISNUMBER((Datos!L10-Datos!V10)/Datos!V10),(Datos!L10-Datos!V10)/Datos!V10," - ")</f>
        <v>-7.4626865671641784E-2</v>
      </c>
      <c r="H10" s="230">
        <f>IF(ISNUMBER((Datos!M10-Datos!W10)/Datos!W10),(Datos!M10-Datos!W10)/Datos!W10," - ")</f>
        <v>2.5</v>
      </c>
      <c r="I10" s="350">
        <f>IF(ISNUMBER((Tasas!C10-Datos!BE10)/Datos!BE10),(Tasas!C10-Datos!BE10)/Datos!BE10," - ")</f>
        <v>-0.17744610281923712</v>
      </c>
      <c r="J10" s="349">
        <f>IF(ISNUMBER((Tasas!D10-Datos!BF10)/Datos!BF10),(Tasas!D10-Datos!BF10)/Datos!BF10," - ")</f>
        <v>2.1111111111111112</v>
      </c>
      <c r="K10" s="351">
        <f>IF(ISNUMBER((Tasas!E10-Datos!BG10)/Datos!BG10),(Tasas!E10-Datos!BG10)/Datos!BG10," - ")</f>
        <v>-0.2536687631027254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-0.27</v>
      </c>
      <c r="I11" s="350">
        <f>IF(ISNUMBER((Tasas!C11-Datos!BE11)/Datos!BE11),(Tasas!C11-Datos!BE11)/Datos!BE11," - ")</f>
        <v>-0.22583120204603579</v>
      </c>
      <c r="J11" s="349">
        <f>IF(ISNUMBER((Tasas!D11-Datos!BF11)/Datos!BF11),(Tasas!D11-Datos!BF11)/Datos!BF11," - ")</f>
        <v>-0.77355238970588236</v>
      </c>
      <c r="K11" s="351">
        <f>IF(ISNUMBER((Tasas!E11-Datos!BG11)/Datos!BG11),(Tasas!E11-Datos!BG11)/Datos!BG11," - ")</f>
        <v>-0.16978609625668445</v>
      </c>
      <c r="M11" t="e">
        <f>IF(Monitorios="SI",Datos!CE11,0)</f>
        <v>#REF!</v>
      </c>
      <c r="N11" t="e">
        <f>IF(Monitorios="SI",Datos!CF11,0)</f>
        <v>#REF!</v>
      </c>
      <c r="O11" t="e">
        <f>IF(Monitorios="SI",Datos!CG11,0)</f>
        <v>#REF!</v>
      </c>
      <c r="P11" t="e">
        <f>IF(Monitorios="SI",Datos!CH11,0)</f>
        <v>#REF!</v>
      </c>
      <c r="Q11">
        <f>IF(J_V="SI",0,Datos!AG11)</f>
        <v>205</v>
      </c>
      <c r="R11">
        <f>IF(J_V="SI",0,Datos!AH11)</f>
        <v>307</v>
      </c>
      <c r="S11">
        <f>IF(J_V="SI",0,Datos!AI11)</f>
        <v>228</v>
      </c>
      <c r="T11">
        <f>IF(J_V="SI",0,Datos!AJ11)</f>
        <v>284</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1.1676300578034682</v>
      </c>
      <c r="I13" s="357">
        <f>IF(ISNUMBER((Tasas!C13-Datos!BE13)/Datos!BE13),(Tasas!C13-Datos!BE13)/Datos!BE13," - ")</f>
        <v>-0.48013163855880092</v>
      </c>
      <c r="J13" s="355">
        <f>IF(ISNUMBER((Tasas!D13-Datos!BF13)/Datos!BF13),(Tasas!D13-Datos!BF13)/Datos!BF13," - ")</f>
        <v>-0.41587088815502904</v>
      </c>
      <c r="K13" s="358">
        <f>IF(ISNUMBER((Tasas!E13-Datos!BG13)/Datos!BG13),(Tasas!E13-Datos!BG13)/Datos!BG13," - ")</f>
        <v>-0.36516451812901751</v>
      </c>
      <c r="M13" t="e">
        <f>IF(Monitorios="SI",Datos!CE13,0)</f>
        <v>#REF!</v>
      </c>
      <c r="N13" t="e">
        <f>IF(Monitorios="SI",Datos!CF13,0)</f>
        <v>#REF!</v>
      </c>
      <c r="O13" t="e">
        <f>IF(Monitorios="SI",Datos!CG13,0)</f>
        <v>#REF!</v>
      </c>
      <c r="P13" t="e">
        <f>IF(Monitorios="SI",Datos!CH13,0)</f>
        <v>#REF!</v>
      </c>
      <c r="Q13">
        <f>IF(J_V="SI",0,Datos!AG13)</f>
        <v>317</v>
      </c>
      <c r="R13">
        <f>IF(J_V="SI",0,Datos!AH13)</f>
        <v>376</v>
      </c>
      <c r="S13">
        <f>IF(J_V="SI",0,Datos!AI13)</f>
        <v>282</v>
      </c>
      <c r="T13">
        <f>IF(J_V="SI",0,Datos!AJ13)</f>
        <v>411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0.72058823529411764</v>
      </c>
      <c r="E15" s="348">
        <f>IF(ISNUMBER(
   IF(D_I="SI",(Datos!J15-Datos!T15)/Datos!T15,(Datos!J15+Datos!AD15-(Datos!T15+Datos!AL15))/(Datos!T15+Datos!AL15))
     ),IF(D_I="SI",(Datos!J15-Datos!T15)/Datos!T15,(Datos!J15+Datos!AD15-(Datos!T15+Datos!AL15))/(Datos!T15+Datos!AL15))," - ")</f>
        <v>0.35335335335335333</v>
      </c>
      <c r="F15" s="348">
        <f>IF(ISNUMBER(
   IF(D_I="SI",(Datos!K15-Datos!U15)/Datos!U15,(Datos!K15+Datos!AE15-(Datos!U15+Datos!AM15))/(Datos!U15+Datos!AM15))
     ),IF(D_I="SI",(Datos!K15-Datos!U15)/Datos!U15,(Datos!K15+Datos!AE15-(Datos!U15+Datos!AM15))/(Datos!U15+Datos!AM15))," - ")</f>
        <v>0.9614325068870524</v>
      </c>
      <c r="G15" s="349">
        <f>IF(ISNUMBER(
   IF(D_I="SI",(Datos!L15-Datos!V15)/Datos!V15,(Datos!L15+Datos!AF15-(Datos!V15+Datos!AN15))/(Datos!V15+Datos!AN15))
     ),IF(D_I="SI",(Datos!L15-Datos!V15)/Datos!V15,(Datos!L15+Datos!AF15-(Datos!V15+Datos!AN15))/(Datos!V15+Datos!AN15))," - ")</f>
        <v>0.35786350148367951</v>
      </c>
      <c r="H15" s="230">
        <f>IF(ISNUMBER((Datos!M15-Datos!W15)/Datos!W15),(Datos!M15-Datos!W15)/Datos!W15," - ")</f>
        <v>2.1084337349397591</v>
      </c>
      <c r="I15" s="350">
        <f>IF(ISNUMBER((Tasas!C15-Datos!BE15)/Datos!BE15),(Tasas!C15-Datos!BE15)/Datos!BE15," - ")</f>
        <v>-0.30771846764244998</v>
      </c>
      <c r="J15" s="349">
        <f>IF(ISNUMBER((Tasas!D15-Datos!BF15)/Datos!BF15),(Tasas!D15-Datos!BF15)/Datos!BF15," - ")</f>
        <v>0.58477731149316359</v>
      </c>
      <c r="K15" s="351">
        <f>IF(ISNUMBER((Tasas!E15-Datos!BG15)/Datos!BG15),(Tasas!E15-Datos!BG15)/Datos!BG15," - ")</f>
        <v>-0.20207810393853803</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0</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0.11920529801324503</v>
      </c>
      <c r="E17" s="348">
        <f>IF(ISNUMBER(
   IF(D_I="SI",(Datos!J17-Datos!T17)/Datos!T17,(Datos!J17+Datos!AD17-(Datos!T17+Datos!AL17))/(Datos!T17+Datos!AL17))
     ),IF(D_I="SI",(Datos!J17-Datos!T17)/Datos!T17,(Datos!J17+Datos!AD17-(Datos!T17+Datos!AL17))/(Datos!T17+Datos!AL17))," - ")</f>
        <v>-5.4054054054054057E-3</v>
      </c>
      <c r="F17" s="348">
        <f>IF(ISNUMBER(
   IF(D_I="SI",(Datos!K17-Datos!U17)/Datos!U17,(Datos!K17+Datos!AE17-(Datos!U17+Datos!AM17))/(Datos!U17+Datos!AM17))
     ),IF(D_I="SI",(Datos!K17-Datos!U17)/Datos!U17,(Datos!K17+Datos!AE17-(Datos!U17+Datos!AM17))/(Datos!U17+Datos!AM17))," - ")</f>
        <v>0.15151515151515152</v>
      </c>
      <c r="G17" s="349">
        <f>IF(ISNUMBER(
   IF(D_I="SI",(Datos!L17-Datos!V17)/Datos!V17,(Datos!L17+Datos!AF17-(Datos!V17+Datos!AN17))/(Datos!V17+Datos!AN17))
     ),IF(D_I="SI",(Datos!L17-Datos!V17)/Datos!V17,(Datos!L17+Datos!AF17-(Datos!V17+Datos!AN17))/(Datos!V17+Datos!AN17))," - ")</f>
        <v>-5.8139534883720929E-3</v>
      </c>
      <c r="H17" s="230">
        <f>IF(ISNUMBER((Datos!M17-Datos!W17)/Datos!W17),(Datos!M17-Datos!W17)/Datos!W17," - ")</f>
        <v>0.5</v>
      </c>
      <c r="I17" s="350">
        <f>IF(ISNUMBER((Tasas!C17-Datos!BE17)/Datos!BE17),(Tasas!C17-Datos!BE17)/Datos!BE17," - ")</f>
        <v>-0.13662790697674421</v>
      </c>
      <c r="J17" s="349">
        <f>IF(ISNUMBER((Tasas!D17-Datos!BF17)/Datos!BF17),(Tasas!D17-Datos!BF17)/Datos!BF17," - ")</f>
        <v>0.30263157894736847</v>
      </c>
      <c r="K17" s="351">
        <f>IF(ISNUMBER((Tasas!E17-Datos!BG17)/Datos!BG17),(Tasas!E17-Datos!BG17)/Datos!BG17," - ")</f>
        <v>-8.7640977443608922E-2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0.66005291005291</v>
      </c>
      <c r="E18" s="354">
        <f>IF(ISNUMBER(
   IF(D_I="SI",(Datos!J18-Datos!T18)/Datos!T18,(Datos!J18+Datos!AD18-(Datos!T18+Datos!AL18))/(Datos!T18+Datos!AL18))
     ),IF(D_I="SI",(Datos!J18-Datos!T18)/Datos!T18,(Datos!J18+Datos!AD18-(Datos!T18+Datos!AL18))/(Datos!T18+Datos!AL18))," - ")</f>
        <v>0.29729729729729731</v>
      </c>
      <c r="F18" s="354">
        <f>IF(ISNUMBER(
   IF(D_I="SI",(Datos!K18-Datos!U18)/Datos!U18,(Datos!K18+Datos!AE18-(Datos!U18+Datos!AM18))/(Datos!U18+Datos!AM18))
     ),IF(D_I="SI",(Datos!K18-Datos!U18)/Datos!U18,(Datos!K18+Datos!AE18-(Datos!U18+Datos!AM18))/(Datos!U18+Datos!AM18))," - ")</f>
        <v>0.81144781144781142</v>
      </c>
      <c r="G18" s="355">
        <f>IF(ISNUMBER(
   IF(D_I="SI",(Datos!L18-Datos!V18)/Datos!V18,(Datos!L18+Datos!AF18-(Datos!V18+Datos!AN18))/(Datos!V18+Datos!AN18))
     ),IF(D_I="SI",(Datos!L18-Datos!V18)/Datos!V18,(Datos!L18+Datos!AF18-(Datos!V18+Datos!AN18))/(Datos!V18+Datos!AN18))," - ")</f>
        <v>0.32400430570505923</v>
      </c>
      <c r="H18" s="356">
        <f>IF(ISNUMBER((Datos!M18-Datos!W18)/Datos!W18),(Datos!M18-Datos!W18)/Datos!W18," - ")</f>
        <v>1.8484848484848484</v>
      </c>
      <c r="I18" s="357">
        <f>IF(ISNUMBER((Tasas!C18-Datos!BE18)/Datos!BE18),(Tasas!C18-Datos!BE18)/Datos!BE18," - ")</f>
        <v>-0.26909055986170527</v>
      </c>
      <c r="J18" s="355">
        <f>IF(ISNUMBER((Tasas!D18-Datos!BF18)/Datos!BF18),(Tasas!D18-Datos!BF18)/Datos!BF18," - ")</f>
        <v>0.57249070631970278</v>
      </c>
      <c r="K18" s="358">
        <f>IF(ISNUMBER((Tasas!E18-Datos!BG18)/Datos!BG18),(Tasas!E18-Datos!BG18)/Datos!BG18," - ")</f>
        <v>-0.17152355685967366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0.34012597258243793</v>
      </c>
      <c r="E19" s="363">
        <f>IF(ISNUMBER(
   IF(J_V="SI",(Datos!J19-Datos!T19)/Datos!T19,(Datos!J19+Datos!Z19-(Datos!T19+Datos!AH19))/(Datos!T19+Datos!AH19))
     ),IF(J_V="SI",(Datos!J19-Datos!T19)/Datos!T19,(Datos!J19+Datos!Z19-(Datos!T19+Datos!AH19))/(Datos!T19+Datos!AH19))," - ")</f>
        <v>0.68332108743570907</v>
      </c>
      <c r="F19" s="363">
        <f>IF(ISNUMBER(
   IF(J_V="SI",(Datos!K19-Datos!U19)/Datos!U19,(Datos!K19+Datos!AA19-(Datos!U19+Datos!AI19))/(Datos!U19+Datos!AI19))
     ),IF(J_V="SI",(Datos!K19-Datos!U19)/Datos!U19,(Datos!K19+Datos!AA19-(Datos!U19+Datos!AI19))/(Datos!U19+Datos!AI19))," - ")</f>
        <v>1.0788530465949822</v>
      </c>
      <c r="G19" s="364">
        <f>IF(ISNUMBER(
   IF(J_V="SI",(Datos!L19-Datos!V19)/Datos!V19,(Datos!L19+Datos!AB19-(Datos!V19+Datos!AJ19))/(Datos!V19+Datos!AJ19))
     ),IF(J_V="SI",(Datos!L19-Datos!V19)/Datos!V19,(Datos!L19+Datos!AB19-(Datos!V19+Datos!AJ19))/(Datos!V19+Datos!AJ19))," - ")</f>
        <v>0.2206031853608946</v>
      </c>
      <c r="H19" s="365">
        <f>IF(ISNUMBER((Datos!M19-Datos!W19)/Datos!W19),(Datos!M19-Datos!W19)/Datos!W19," - ")</f>
        <v>1.3191011235955057</v>
      </c>
      <c r="I19" s="362">
        <f>IF(ISNUMBER((Tasas!C19-Datos!BE19)/Datos!BE19),(Tasas!C19-Datos!BE19)/Datos!BE19," - ")</f>
        <v>-0.41284777807639722</v>
      </c>
      <c r="J19" s="363">
        <f>IF(ISNUMBER((Tasas!D19-Datos!BF19)/Datos!BF19),(Tasas!D19-Datos!BF19)/Datos!BF19," - ")</f>
        <v>-0.25684493082799914</v>
      </c>
      <c r="K19" s="364">
        <f>IF(ISNUMBER((Tasas!E19-Datos!BG19)/Datos!BG19),(Tasas!E19-Datos!BG19)/Datos!BG19," - ")</f>
        <v>-0.30001189060642097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0.38896536432755363</v>
      </c>
      <c r="E21" s="278">
        <f t="shared" si="1"/>
        <v>0.26841941064272962</v>
      </c>
      <c r="F21" s="278">
        <f t="shared" si="1"/>
        <v>0.43641586022996581</v>
      </c>
      <c r="G21" s="279">
        <f t="shared" si="1"/>
        <v>0.20390264990851295</v>
      </c>
      <c r="H21" s="285">
        <f t="shared" si="1"/>
        <v>0.97295701908307353</v>
      </c>
      <c r="I21" s="277">
        <f t="shared" si="1"/>
        <v>0.15630059036814217</v>
      </c>
      <c r="J21" s="278">
        <f t="shared" si="1"/>
        <v>0.94762962614497426</v>
      </c>
      <c r="K21" s="279">
        <f t="shared" si="1"/>
        <v>0.12031556159028765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ej+QotxKYForW1p9oFVlFf65+1t2jCIbc0b2emdnnE55t5yiB79sf1ladulywIb6v918bSwG2/71wfBQnRdkw==" saltValue="KFxoRK2fqn17po7BVf4g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